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75" windowWidth="7395" windowHeight="8625" firstSheet="1" activeTab="1"/>
  </bookViews>
  <sheets>
    <sheet name="ต.ค.56" sheetId="1" r:id="rId1"/>
    <sheet name="ก.ค." sheetId="2" r:id="rId2"/>
  </sheets>
  <definedNames/>
  <calcPr fullCalcOnLoad="1"/>
</workbook>
</file>

<file path=xl/sharedStrings.xml><?xml version="1.0" encoding="utf-8"?>
<sst xmlns="http://schemas.openxmlformats.org/spreadsheetml/2006/main" count="317" uniqueCount="167">
  <si>
    <t>อำเภอนครชัยศรี  จังหวัดนครปฐม</t>
  </si>
  <si>
    <t>รายงาน รับ - จ่าย เงินสด</t>
  </si>
  <si>
    <t>จนถึงปัจจุบัน</t>
  </si>
  <si>
    <t>รหัสบัญชี</t>
  </si>
  <si>
    <t>เดือนนี้</t>
  </si>
  <si>
    <t>ประมาณการ</t>
  </si>
  <si>
    <t>เกิดขึ้นจริง</t>
  </si>
  <si>
    <t>รายการ</t>
  </si>
  <si>
    <t>บาท</t>
  </si>
  <si>
    <t xml:space="preserve"> ยอดยกมา</t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</si>
  <si>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</si>
  <si>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</si>
  <si>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</si>
  <si>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</si>
  <si>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</si>
  <si>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</si>
  <si>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รายได้จากสาธารณูปโภคและการพาณิชย์</t>
  </si>
  <si>
    <t>0250</t>
  </si>
  <si>
    <t xml:space="preserve"> รายได้เบ็ดเตล็ด</t>
  </si>
  <si>
    <t>0300</t>
  </si>
  <si>
    <t xml:space="preserve"> ภาษีจัดสรร</t>
  </si>
  <si>
    <t>1000</t>
  </si>
  <si>
    <t xml:space="preserve"> เงินอุดหนุน</t>
  </si>
  <si>
    <t>2000</t>
  </si>
  <si>
    <t>รวมรายรับ</t>
  </si>
  <si>
    <t xml:space="preserve">    งบกลาง</t>
  </si>
  <si>
    <t>000</t>
  </si>
  <si>
    <t xml:space="preserve">    เงินเดือน</t>
  </si>
  <si>
    <t>100</t>
  </si>
  <si>
    <t xml:space="preserve">    ค่าจ้างประจำ</t>
  </si>
  <si>
    <t>120</t>
  </si>
  <si>
    <t xml:space="preserve">    ค่าจ้างชั่วคราว</t>
  </si>
  <si>
    <t>130</t>
  </si>
  <si>
    <t xml:space="preserve">    ค่าตอบแทน</t>
  </si>
  <si>
    <t>200</t>
  </si>
  <si>
    <t xml:space="preserve">    ค่าใช้สอย</t>
  </si>
  <si>
    <t>250</t>
  </si>
  <si>
    <t xml:space="preserve">    ค่าวัสดุ</t>
  </si>
  <si>
    <t xml:space="preserve">    ค่าสาธารณูปโภค</t>
  </si>
  <si>
    <t>300</t>
  </si>
  <si>
    <t xml:space="preserve">    เงินอุดหนุน</t>
  </si>
  <si>
    <t xml:space="preserve">    ค่าครุภัณฑ์</t>
  </si>
  <si>
    <t xml:space="preserve">    ค่าที่ดินและสิ่งก่อสร้าง</t>
  </si>
  <si>
    <t xml:space="preserve">    รายจ่ายรอจ่าย</t>
  </si>
  <si>
    <t xml:space="preserve">    เงินสะสม</t>
  </si>
  <si>
    <t>รวมรายจ่าย</t>
  </si>
  <si>
    <t>ยอดยกไป</t>
  </si>
  <si>
    <t>(นางสาวจารุวรรณ  ถิรนันทนากร)</t>
  </si>
  <si>
    <t xml:space="preserve">          หัวหน้าส่วนการคลัง</t>
  </si>
  <si>
    <t>องค์การบริหารส่วนตำบลงิ้วราย</t>
  </si>
  <si>
    <t xml:space="preserve"> เงินรับฝาก (หมายเหตุ 2)</t>
  </si>
  <si>
    <t>900</t>
  </si>
  <si>
    <t xml:space="preserve">    รายจ่ายอื่น</t>
  </si>
  <si>
    <t xml:space="preserve">    เงินรับฝาก (หมายเหตุ 2)</t>
  </si>
  <si>
    <t>(นายเชาว์  ปานกลิ่นพุฒ)</t>
  </si>
  <si>
    <r>
      <t xml:space="preserve"> </t>
    </r>
    <r>
      <rPr>
        <u val="single"/>
        <sz val="14"/>
        <rFont val="Cordia New"/>
        <family val="2"/>
      </rPr>
      <t>รายรับ</t>
    </r>
    <r>
      <rPr>
        <sz val="14"/>
        <rFont val="Cordia New"/>
        <family val="2"/>
      </rPr>
      <t xml:space="preserve"> </t>
    </r>
  </si>
  <si>
    <r>
      <t xml:space="preserve"> </t>
    </r>
    <r>
      <rPr>
        <u val="single"/>
        <sz val="14"/>
        <rFont val="Cordia New"/>
        <family val="2"/>
      </rPr>
      <t>รายจ่าย</t>
    </r>
  </si>
  <si>
    <t>ทราบ</t>
  </si>
  <si>
    <t xml:space="preserve">   ปลัดองค์การบริหารส่วนตำบล              </t>
  </si>
  <si>
    <t>นายกองค์การบริหารส่วนตำบล</t>
  </si>
  <si>
    <t xml:space="preserve">                     ผู้จัดทำ</t>
  </si>
  <si>
    <t xml:space="preserve">           ตรวจสอบถูกต้องแล้ว</t>
  </si>
  <si>
    <t>270</t>
  </si>
  <si>
    <t>400</t>
  </si>
  <si>
    <t>450</t>
  </si>
  <si>
    <t>500</t>
  </si>
  <si>
    <t>550</t>
  </si>
  <si>
    <t>รายรับ ต่ำกว่า รายจ่าย</t>
  </si>
  <si>
    <t>3000</t>
  </si>
  <si>
    <t xml:space="preserve">       (นางณัฐณิชา  อนุกูลเวช)</t>
  </si>
  <si>
    <t xml:space="preserve"> เงินสะสม</t>
  </si>
  <si>
    <t xml:space="preserve">    รายจ่ายค้างจ่าย</t>
  </si>
  <si>
    <t>700</t>
  </si>
  <si>
    <t>ปีงบประมาณ 2556</t>
  </si>
  <si>
    <t xml:space="preserve">    ลูกหนี้เงินยืมเงินสะสม</t>
  </si>
  <si>
    <t>ประจำเดือนพฤศจิกายน 2555</t>
  </si>
  <si>
    <t xml:space="preserve"> ลูกหนี้เงินยืมเงินสะสม</t>
  </si>
  <si>
    <t xml:space="preserve">    ลูกหนี้เงินยืมเงินงบประมาณ</t>
  </si>
  <si>
    <t xml:space="preserve">                      ผู้จัดทำ</t>
  </si>
  <si>
    <t xml:space="preserve">           (นางอารีรัตน์    จันทร์แสง)</t>
  </si>
  <si>
    <t xml:space="preserve">               ผู้อำนวยการกองคลัง</t>
  </si>
  <si>
    <t>งบกลาง</t>
  </si>
  <si>
    <t>ประจำเดือนตุลาคม 2556</t>
  </si>
  <si>
    <t>ปีงบประมาณ 2557</t>
  </si>
  <si>
    <t>411000</t>
  </si>
  <si>
    <t>412000</t>
  </si>
  <si>
    <t>413000</t>
  </si>
  <si>
    <t>414000</t>
  </si>
  <si>
    <t>415000</t>
  </si>
  <si>
    <t>421000</t>
  </si>
  <si>
    <t>430000</t>
  </si>
  <si>
    <t>230100</t>
  </si>
  <si>
    <t>ลูกหนี้-ภาษีบำรุงท้องที่</t>
  </si>
  <si>
    <t>ลูกหนี้-ภาษีโรงเรือนและที่ดิน</t>
  </si>
  <si>
    <t>ลูกหนี้-ภาษีป้าย</t>
  </si>
  <si>
    <t>110601</t>
  </si>
  <si>
    <t>110602</t>
  </si>
  <si>
    <t>110603</t>
  </si>
  <si>
    <t>110604</t>
  </si>
  <si>
    <t xml:space="preserve">    เงินเดือน (ฝ่ายการเมือง)</t>
  </si>
  <si>
    <t>521000</t>
  </si>
  <si>
    <t>522000</t>
  </si>
  <si>
    <t>511000</t>
  </si>
  <si>
    <t>งบบุคลากร</t>
  </si>
  <si>
    <t>งบดำเนินการ</t>
  </si>
  <si>
    <t>530000</t>
  </si>
  <si>
    <t>531000</t>
  </si>
  <si>
    <t>532000</t>
  </si>
  <si>
    <t>534000</t>
  </si>
  <si>
    <t>งบลงทุน</t>
  </si>
  <si>
    <t>540000</t>
  </si>
  <si>
    <t>541000</t>
  </si>
  <si>
    <t>542000</t>
  </si>
  <si>
    <t>งบรายจ่ายอื่น ๆ</t>
  </si>
  <si>
    <t>550000</t>
  </si>
  <si>
    <t>551000</t>
  </si>
  <si>
    <t>งบเงินอุดหนุน</t>
  </si>
  <si>
    <t>560000</t>
  </si>
  <si>
    <t>561000</t>
  </si>
  <si>
    <t xml:space="preserve">    เงินเดือน (ฝ่ายประจำ)</t>
  </si>
  <si>
    <t xml:space="preserve">                - เงินเดือน</t>
  </si>
  <si>
    <t xml:space="preserve">                - ค่าจ้างชั่วคราว</t>
  </si>
  <si>
    <t xml:space="preserve">                - ค่าจ้างประจำ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</si>
  <si>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</si>
  <si>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</si>
  <si>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</si>
  <si>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</si>
  <si>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r>
      <t xml:space="preserve"> </t>
    </r>
    <r>
      <rPr>
        <u val="single"/>
        <sz val="16"/>
        <rFont val="TH SarabunPSK"/>
        <family val="2"/>
      </rPr>
      <t>รายจ่าย</t>
    </r>
  </si>
  <si>
    <t>ลูกหนี้อื่นๆ-รายได้จากสาธารณูปโภคและพาณิชย์</t>
  </si>
  <si>
    <t>ลูกหนี้อื่นๆ-ค่าธรรมเนียมเก็บและขนขยะมูลฝอย</t>
  </si>
  <si>
    <t xml:space="preserve">   ค่าครุภัณฑ์</t>
  </si>
  <si>
    <t xml:space="preserve">   ค่าที่ดินและสิ่งก่อสร้าง</t>
  </si>
  <si>
    <t xml:space="preserve">   รายจ่ายอื่น</t>
  </si>
  <si>
    <t xml:space="preserve">  เงินอุดหนุน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</si>
  <si>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</t>
    </r>
  </si>
  <si>
    <t>110606</t>
  </si>
  <si>
    <t>310000</t>
  </si>
  <si>
    <t xml:space="preserve">           (นางสาวอรัญญา  แก้วศรี)</t>
  </si>
  <si>
    <t xml:space="preserve">            นักวิชาการเงินและบัญชี</t>
  </si>
  <si>
    <t xml:space="preserve">              ตรวจสอบถูกต้องแล้ว</t>
  </si>
  <si>
    <t xml:space="preserve">ปลัดองค์การบริหารส่วนตำบลงิ้วราย              </t>
  </si>
  <si>
    <t xml:space="preserve">   ปฏิบัติหน้าที่ นายกอบต.งิ้วราย</t>
  </si>
  <si>
    <t xml:space="preserve"> ลูกหนี้-ภาษีโรงเรือนและที่ดิน</t>
  </si>
  <si>
    <t xml:space="preserve"> ลูกหนี้-ภาษีบำรุงท้องที่</t>
  </si>
  <si>
    <t xml:space="preserve"> ลูกหนี้-ภาษีป้าย</t>
  </si>
  <si>
    <t xml:space="preserve"> ลูกหนี้อื่นๆ-รายได้จากสาธารณูปโภคและพาณิชย์</t>
  </si>
  <si>
    <t xml:space="preserve"> ลูกหนี้อื่นๆ-ค่าธรรมเนียมเก็บและขนขยะมูลฝอย</t>
  </si>
  <si>
    <t>210400</t>
  </si>
  <si>
    <t xml:space="preserve">   เงินอุดหนุน</t>
  </si>
  <si>
    <t xml:space="preserve">   งบกลาง</t>
  </si>
  <si>
    <t xml:space="preserve">   เงินเดือน (ฝ่ายการเมือง)</t>
  </si>
  <si>
    <t xml:space="preserve">   เงินเดือน (ฝ่ายประจำ)</t>
  </si>
  <si>
    <t xml:space="preserve">              - เงินเดือน</t>
  </si>
  <si>
    <t xml:space="preserve">              - ค่าจ้างประจำ</t>
  </si>
  <si>
    <t xml:space="preserve">              - ค่าจ้างชั่วคราว</t>
  </si>
  <si>
    <t xml:space="preserve">           (นางณัฐณิชา    อนุกูลเวช)</t>
  </si>
  <si>
    <t xml:space="preserve">     ปลัดองค์การบริหารส่วนตำบลงิ้วราย</t>
  </si>
  <si>
    <t xml:space="preserve">นายกองค์การบริหารส่วนตำบลงิ้วราย              </t>
  </si>
  <si>
    <t>(นายสมัชชา  ทองสิมา)</t>
  </si>
  <si>
    <t>440000</t>
  </si>
  <si>
    <t>เงินอุดหนุนระบุวัตถุประสงค์(เบี้ยยังชีพคนชรา)</t>
  </si>
  <si>
    <t>เงินอุดหนุนระบุวัตถุประสงค์(เบี้ยยังชีพคนพิการ)</t>
  </si>
  <si>
    <t>เงินสะสม</t>
  </si>
  <si>
    <t xml:space="preserve"> - 2 -</t>
  </si>
  <si>
    <t>ลูกหนี้เงินยืมเงินงบประมาณ</t>
  </si>
  <si>
    <t>110605</t>
  </si>
  <si>
    <t>ประจำเดือนกรกฎาคม 2557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</si>
</sst>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-* #,##0.000_-;\-* #,##0.000_-;_-* &quot;-&quot;??_-;_-@_-"/>
  </numFmts>
  <fonts count="51">
    <font>
      <sz val="10"/>
      <name val="Arial"/>
      <family val="0"/>
    </font>
    <font>
      <sz val="18"/>
      <name val="Cordia New"/>
      <family val="2"/>
    </font>
    <font>
      <sz val="15"/>
      <name val="Cordia New"/>
      <family val="2"/>
    </font>
    <font>
      <sz val="16"/>
      <name val="Cordia New"/>
      <family val="2"/>
    </font>
    <font>
      <sz val="8"/>
      <name val="Arial"/>
      <family val="2"/>
    </font>
    <font>
      <sz val="14"/>
      <name val="Cordia New"/>
      <family val="2"/>
    </font>
    <font>
      <sz val="14"/>
      <name val="Arial"/>
      <family val="2"/>
    </font>
    <font>
      <u val="single"/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40"/>
      <name val="TH SarabunPSK"/>
      <family val="2"/>
    </font>
    <font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4" fontId="1" fillId="0" borderId="0" xfId="33" applyFont="1" applyAlignment="1">
      <alignment/>
    </xf>
    <xf numFmtId="194" fontId="2" fillId="0" borderId="0" xfId="33" applyFont="1" applyAlignment="1">
      <alignment/>
    </xf>
    <xf numFmtId="194" fontId="3" fillId="0" borderId="0" xfId="33" applyFont="1" applyAlignment="1">
      <alignment horizontal="right"/>
    </xf>
    <xf numFmtId="0" fontId="3" fillId="0" borderId="0" xfId="0" applyFont="1" applyAlignment="1">
      <alignment/>
    </xf>
    <xf numFmtId="194" fontId="3" fillId="0" borderId="0" xfId="33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4" fontId="5" fillId="0" borderId="11" xfId="33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94" fontId="5" fillId="0" borderId="0" xfId="3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94" fontId="5" fillId="0" borderId="10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3" xfId="0" applyFont="1" applyBorder="1" applyAlignment="1">
      <alignment/>
    </xf>
    <xf numFmtId="194" fontId="5" fillId="0" borderId="13" xfId="33" applyFont="1" applyBorder="1" applyAlignment="1">
      <alignment horizontal="center"/>
    </xf>
    <xf numFmtId="0" fontId="5" fillId="0" borderId="12" xfId="0" applyFont="1" applyBorder="1" applyAlignment="1">
      <alignment/>
    </xf>
    <xf numFmtId="194" fontId="5" fillId="0" borderId="10" xfId="33" applyFont="1" applyBorder="1" applyAlignment="1">
      <alignment/>
    </xf>
    <xf numFmtId="0" fontId="5" fillId="0" borderId="0" xfId="0" applyFont="1" applyAlignment="1">
      <alignment/>
    </xf>
    <xf numFmtId="194" fontId="5" fillId="0" borderId="12" xfId="33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 horizontal="center"/>
    </xf>
    <xf numFmtId="194" fontId="5" fillId="0" borderId="15" xfId="33" applyFont="1" applyBorder="1" applyAlignment="1">
      <alignment/>
    </xf>
    <xf numFmtId="199" fontId="5" fillId="0" borderId="0" xfId="33" applyNumberFormat="1" applyFont="1" applyBorder="1" applyAlignment="1">
      <alignment/>
    </xf>
    <xf numFmtId="194" fontId="5" fillId="0" borderId="13" xfId="33" applyFont="1" applyBorder="1" applyAlignment="1">
      <alignment/>
    </xf>
    <xf numFmtId="0" fontId="5" fillId="0" borderId="0" xfId="0" applyFont="1" applyBorder="1" applyAlignment="1">
      <alignment/>
    </xf>
    <xf numFmtId="194" fontId="5" fillId="0" borderId="16" xfId="33" applyFont="1" applyBorder="1" applyAlignment="1">
      <alignment/>
    </xf>
    <xf numFmtId="0" fontId="5" fillId="0" borderId="0" xfId="0" applyFont="1" applyAlignment="1">
      <alignment horizontal="center"/>
    </xf>
    <xf numFmtId="194" fontId="5" fillId="0" borderId="0" xfId="33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194" fontId="5" fillId="0" borderId="12" xfId="33" applyFont="1" applyBorder="1" applyAlignment="1">
      <alignment horizontal="right"/>
    </xf>
    <xf numFmtId="194" fontId="5" fillId="0" borderId="20" xfId="33" applyFont="1" applyBorder="1" applyAlignment="1">
      <alignment/>
    </xf>
    <xf numFmtId="0" fontId="5" fillId="0" borderId="18" xfId="0" applyFont="1" applyBorder="1" applyAlignment="1">
      <alignment/>
    </xf>
    <xf numFmtId="194" fontId="5" fillId="0" borderId="11" xfId="33" applyFont="1" applyBorder="1" applyAlignment="1">
      <alignment/>
    </xf>
    <xf numFmtId="3" fontId="5" fillId="0" borderId="0" xfId="0" applyNumberFormat="1" applyFont="1" applyBorder="1" applyAlignment="1">
      <alignment/>
    </xf>
    <xf numFmtId="194" fontId="5" fillId="0" borderId="0" xfId="33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194" fontId="8" fillId="0" borderId="12" xfId="33" applyFont="1" applyBorder="1" applyAlignment="1">
      <alignment/>
    </xf>
    <xf numFmtId="194" fontId="8" fillId="0" borderId="12" xfId="33" applyFont="1" applyBorder="1" applyAlignment="1">
      <alignment horizontal="right"/>
    </xf>
    <xf numFmtId="194" fontId="8" fillId="0" borderId="0" xfId="33" applyFont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0" xfId="33" applyFont="1" applyBorder="1" applyAlignment="1">
      <alignment horizontal="center"/>
    </xf>
    <xf numFmtId="194" fontId="8" fillId="0" borderId="10" xfId="33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94" fontId="8" fillId="0" borderId="14" xfId="33" applyFont="1" applyBorder="1" applyAlignment="1">
      <alignment horizontal="center"/>
    </xf>
    <xf numFmtId="0" fontId="8" fillId="0" borderId="13" xfId="0" applyFont="1" applyBorder="1" applyAlignment="1">
      <alignment/>
    </xf>
    <xf numFmtId="194" fontId="8" fillId="0" borderId="13" xfId="33" applyFont="1" applyBorder="1" applyAlignment="1">
      <alignment horizontal="center"/>
    </xf>
    <xf numFmtId="194" fontId="8" fillId="0" borderId="10" xfId="33" applyFont="1" applyBorder="1" applyAlignment="1">
      <alignment/>
    </xf>
    <xf numFmtId="194" fontId="8" fillId="0" borderId="0" xfId="0" applyNumberFormat="1" applyFont="1" applyAlignment="1">
      <alignment/>
    </xf>
    <xf numFmtId="194" fontId="8" fillId="0" borderId="12" xfId="33" applyFont="1" applyBorder="1" applyAlignment="1">
      <alignment horizontal="center"/>
    </xf>
    <xf numFmtId="194" fontId="8" fillId="0" borderId="15" xfId="33" applyFont="1" applyBorder="1" applyAlignment="1">
      <alignment/>
    </xf>
    <xf numFmtId="199" fontId="8" fillId="0" borderId="0" xfId="33" applyNumberFormat="1" applyFont="1" applyBorder="1" applyAlignment="1">
      <alignment/>
    </xf>
    <xf numFmtId="194" fontId="8" fillId="0" borderId="13" xfId="33" applyFont="1" applyBorder="1" applyAlignment="1">
      <alignment/>
    </xf>
    <xf numFmtId="0" fontId="8" fillId="0" borderId="0" xfId="0" applyFont="1" applyBorder="1" applyAlignment="1">
      <alignment/>
    </xf>
    <xf numFmtId="194" fontId="8" fillId="0" borderId="16" xfId="33" applyFont="1" applyBorder="1" applyAlignment="1">
      <alignment/>
    </xf>
    <xf numFmtId="194" fontId="8" fillId="0" borderId="0" xfId="33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/>
    </xf>
    <xf numFmtId="19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94" fontId="48" fillId="0" borderId="0" xfId="33" applyFont="1" applyAlignment="1">
      <alignment/>
    </xf>
    <xf numFmtId="194" fontId="8" fillId="0" borderId="20" xfId="33" applyFont="1" applyBorder="1" applyAlignment="1">
      <alignment/>
    </xf>
    <xf numFmtId="194" fontId="8" fillId="0" borderId="11" xfId="33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94" fontId="9" fillId="0" borderId="0" xfId="33" applyFont="1" applyAlignment="1">
      <alignment/>
    </xf>
    <xf numFmtId="0" fontId="9" fillId="0" borderId="0" xfId="0" applyFont="1" applyAlignment="1">
      <alignment horizontal="right"/>
    </xf>
    <xf numFmtId="194" fontId="9" fillId="0" borderId="0" xfId="33" applyFont="1" applyAlignment="1">
      <alignment/>
    </xf>
    <xf numFmtId="17" fontId="9" fillId="0" borderId="0" xfId="0" applyNumberFormat="1" applyFont="1" applyAlignment="1">
      <alignment/>
    </xf>
    <xf numFmtId="194" fontId="9" fillId="0" borderId="0" xfId="33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194" fontId="8" fillId="0" borderId="0" xfId="0" applyNumberFormat="1" applyFont="1" applyBorder="1" applyAlignment="1">
      <alignment/>
    </xf>
    <xf numFmtId="194" fontId="49" fillId="0" borderId="0" xfId="0" applyNumberFormat="1" applyFont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9" fillId="0" borderId="14" xfId="0" applyFont="1" applyBorder="1" applyAlignment="1">
      <alignment/>
    </xf>
    <xf numFmtId="194" fontId="48" fillId="0" borderId="12" xfId="33" applyFont="1" applyBorder="1" applyAlignment="1">
      <alignment/>
    </xf>
    <xf numFmtId="194" fontId="50" fillId="0" borderId="12" xfId="33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0">
      <selection activeCell="A47" sqref="A47"/>
    </sheetView>
  </sheetViews>
  <sheetFormatPr defaultColWidth="9.140625" defaultRowHeight="12.75"/>
  <cols>
    <col min="1" max="1" width="16.140625" style="48" customWidth="1"/>
    <col min="2" max="2" width="16.28125" style="48" customWidth="1"/>
    <col min="3" max="3" width="41.28125" style="48" customWidth="1"/>
    <col min="4" max="4" width="11.421875" style="48" customWidth="1"/>
    <col min="5" max="5" width="18.00390625" style="48" customWidth="1"/>
    <col min="6" max="6" width="9.140625" style="48" customWidth="1"/>
    <col min="7" max="7" width="12.28125" style="48" hidden="1" customWidth="1"/>
    <col min="8" max="8" width="18.00390625" style="48" hidden="1" customWidth="1"/>
    <col min="9" max="9" width="14.140625" style="48" bestFit="1" customWidth="1"/>
    <col min="10" max="16384" width="9.140625" style="48" customWidth="1"/>
  </cols>
  <sheetData>
    <row r="1" spans="1:5" ht="24">
      <c r="A1" s="89" t="s">
        <v>49</v>
      </c>
      <c r="B1" s="90"/>
      <c r="C1" s="89"/>
      <c r="D1" s="89"/>
      <c r="E1" s="90"/>
    </row>
    <row r="2" spans="1:5" ht="24">
      <c r="A2" s="89" t="s">
        <v>0</v>
      </c>
      <c r="B2" s="90"/>
      <c r="C2" s="89"/>
      <c r="D2" s="54"/>
      <c r="E2" s="91" t="s">
        <v>83</v>
      </c>
    </row>
    <row r="3" spans="1:5" ht="25.5" customHeight="1">
      <c r="A3" s="110" t="s">
        <v>1</v>
      </c>
      <c r="B3" s="110"/>
      <c r="C3" s="110"/>
      <c r="D3" s="110"/>
      <c r="E3" s="110"/>
    </row>
    <row r="4" spans="1:5" ht="21.75" customHeight="1">
      <c r="A4" s="54"/>
      <c r="B4" s="92"/>
      <c r="C4" s="54"/>
      <c r="D4" s="93"/>
      <c r="E4" s="94" t="s">
        <v>82</v>
      </c>
    </row>
    <row r="5" spans="1:5" ht="22.5" customHeight="1">
      <c r="A5" s="105" t="s">
        <v>2</v>
      </c>
      <c r="B5" s="111"/>
      <c r="C5" s="59"/>
      <c r="D5" s="112" t="s">
        <v>3</v>
      </c>
      <c r="E5" s="60" t="s">
        <v>4</v>
      </c>
    </row>
    <row r="6" spans="1:5" ht="22.5" customHeight="1">
      <c r="A6" s="61" t="s">
        <v>5</v>
      </c>
      <c r="B6" s="62" t="s">
        <v>6</v>
      </c>
      <c r="C6" s="53" t="s">
        <v>7</v>
      </c>
      <c r="D6" s="113"/>
      <c r="E6" s="63" t="s">
        <v>6</v>
      </c>
    </row>
    <row r="7" spans="1:5" ht="22.5" customHeight="1">
      <c r="A7" s="64" t="s">
        <v>8</v>
      </c>
      <c r="B7" s="65" t="s">
        <v>8</v>
      </c>
      <c r="C7" s="66"/>
      <c r="D7" s="114"/>
      <c r="E7" s="67" t="s">
        <v>8</v>
      </c>
    </row>
    <row r="8" spans="1:8" ht="22.5" customHeight="1">
      <c r="A8" s="55"/>
      <c r="B8" s="68">
        <v>24740287.46</v>
      </c>
      <c r="C8" s="48" t="s">
        <v>9</v>
      </c>
      <c r="D8" s="55"/>
      <c r="E8" s="68">
        <v>24740287.46</v>
      </c>
      <c r="H8" s="69">
        <f>24780233.81-B8</f>
        <v>39946.349999997765</v>
      </c>
    </row>
    <row r="9" spans="1:5" ht="22.5" customHeight="1">
      <c r="A9" s="56"/>
      <c r="B9" s="56"/>
      <c r="C9" s="48" t="s">
        <v>134</v>
      </c>
      <c r="D9" s="55"/>
      <c r="E9" s="56"/>
    </row>
    <row r="10" spans="1:5" ht="22.5" customHeight="1">
      <c r="A10" s="56">
        <v>456000</v>
      </c>
      <c r="B10" s="56">
        <f>615.88</f>
        <v>615.88</v>
      </c>
      <c r="C10" s="48" t="s">
        <v>10</v>
      </c>
      <c r="D10" s="51" t="s">
        <v>84</v>
      </c>
      <c r="E10" s="56">
        <v>615.88</v>
      </c>
    </row>
    <row r="11" spans="1:5" ht="22.5" customHeight="1">
      <c r="A11" s="56">
        <v>197300</v>
      </c>
      <c r="B11" s="70">
        <f>24882.7</f>
        <v>24882.7</v>
      </c>
      <c r="C11" s="48" t="s">
        <v>12</v>
      </c>
      <c r="D11" s="51" t="s">
        <v>85</v>
      </c>
      <c r="E11" s="70">
        <v>24882.7</v>
      </c>
    </row>
    <row r="12" spans="1:5" ht="22.5" customHeight="1">
      <c r="A12" s="56">
        <v>250000</v>
      </c>
      <c r="B12" s="56">
        <f>10175.69</f>
        <v>10175.69</v>
      </c>
      <c r="C12" s="48" t="s">
        <v>14</v>
      </c>
      <c r="D12" s="51" t="s">
        <v>86</v>
      </c>
      <c r="E12" s="56">
        <v>10175.69</v>
      </c>
    </row>
    <row r="13" spans="1:5" ht="22.5" customHeight="1">
      <c r="A13" s="56">
        <v>1100000</v>
      </c>
      <c r="B13" s="56">
        <f>77765</f>
        <v>77765</v>
      </c>
      <c r="C13" s="48" t="s">
        <v>16</v>
      </c>
      <c r="D13" s="51" t="s">
        <v>87</v>
      </c>
      <c r="E13" s="56">
        <v>77765</v>
      </c>
    </row>
    <row r="14" spans="1:5" ht="22.5" customHeight="1">
      <c r="A14" s="56">
        <v>21500</v>
      </c>
      <c r="B14" s="70">
        <f>500</f>
        <v>500</v>
      </c>
      <c r="C14" s="48" t="s">
        <v>18</v>
      </c>
      <c r="D14" s="51" t="s">
        <v>88</v>
      </c>
      <c r="E14" s="70">
        <v>500</v>
      </c>
    </row>
    <row r="15" spans="1:8" ht="22.5" customHeight="1">
      <c r="A15" s="70">
        <v>12222200</v>
      </c>
      <c r="B15" s="56">
        <f>517293.17</f>
        <v>517293.17</v>
      </c>
      <c r="C15" s="48" t="s">
        <v>20</v>
      </c>
      <c r="D15" s="51" t="s">
        <v>89</v>
      </c>
      <c r="E15" s="56">
        <v>517293.17</v>
      </c>
      <c r="H15" s="48">
        <f>1973887.9-1927381.9</f>
        <v>46506</v>
      </c>
    </row>
    <row r="16" spans="1:8" ht="22.5" customHeight="1">
      <c r="A16" s="70">
        <v>5292200</v>
      </c>
      <c r="B16" s="56">
        <v>0</v>
      </c>
      <c r="C16" s="48" t="s">
        <v>22</v>
      </c>
      <c r="D16" s="51" t="s">
        <v>90</v>
      </c>
      <c r="E16" s="56">
        <v>0</v>
      </c>
      <c r="H16" s="69">
        <f>E15-517293.17</f>
        <v>0</v>
      </c>
    </row>
    <row r="17" spans="1:5" ht="22.5" customHeight="1" thickBot="1">
      <c r="A17" s="71">
        <f>SUM(A9:A16)</f>
        <v>19539200</v>
      </c>
      <c r="B17" s="71">
        <f>SUM(B10:B16)</f>
        <v>631232.44</v>
      </c>
      <c r="D17" s="51"/>
      <c r="E17" s="71">
        <f>SUM(E10:E16)</f>
        <v>631232.44</v>
      </c>
    </row>
    <row r="18" spans="1:5" ht="22.5" customHeight="1" thickTop="1">
      <c r="A18" s="72"/>
      <c r="B18" s="56">
        <f>136856.26</f>
        <v>136856.26</v>
      </c>
      <c r="C18" s="48" t="s">
        <v>50</v>
      </c>
      <c r="D18" s="51" t="s">
        <v>91</v>
      </c>
      <c r="E18" s="56">
        <v>136856.26</v>
      </c>
    </row>
    <row r="19" spans="1:5" ht="22.5" customHeight="1">
      <c r="A19" s="72"/>
      <c r="B19" s="56">
        <v>0</v>
      </c>
      <c r="C19" s="49" t="s">
        <v>93</v>
      </c>
      <c r="D19" s="51" t="s">
        <v>95</v>
      </c>
      <c r="E19" s="56">
        <v>0</v>
      </c>
    </row>
    <row r="20" spans="1:5" ht="22.5" customHeight="1">
      <c r="A20" s="72"/>
      <c r="B20" s="56">
        <f>713.78</f>
        <v>713.78</v>
      </c>
      <c r="C20" s="49" t="s">
        <v>92</v>
      </c>
      <c r="D20" s="51" t="s">
        <v>96</v>
      </c>
      <c r="E20" s="56">
        <v>713.78</v>
      </c>
    </row>
    <row r="21" spans="1:5" ht="22.5" customHeight="1">
      <c r="A21" s="72"/>
      <c r="B21" s="56">
        <v>0</v>
      </c>
      <c r="C21" s="49" t="s">
        <v>94</v>
      </c>
      <c r="D21" s="51" t="s">
        <v>97</v>
      </c>
      <c r="E21" s="56">
        <v>0</v>
      </c>
    </row>
    <row r="22" spans="1:8" ht="22.5" customHeight="1">
      <c r="A22" s="72"/>
      <c r="B22" s="56">
        <f>10005</f>
        <v>10005</v>
      </c>
      <c r="C22" s="49" t="s">
        <v>128</v>
      </c>
      <c r="D22" s="51" t="s">
        <v>98</v>
      </c>
      <c r="E22" s="56">
        <v>10005</v>
      </c>
      <c r="H22" s="69">
        <f>E17+E26</f>
        <v>779817.48</v>
      </c>
    </row>
    <row r="23" spans="1:5" ht="22.5" customHeight="1">
      <c r="A23" s="72"/>
      <c r="B23" s="56">
        <v>1010</v>
      </c>
      <c r="C23" s="49" t="s">
        <v>129</v>
      </c>
      <c r="D23" s="53">
        <v>110604</v>
      </c>
      <c r="E23" s="56">
        <v>1010</v>
      </c>
    </row>
    <row r="24" spans="1:5" ht="22.5" customHeight="1">
      <c r="A24" s="72"/>
      <c r="B24" s="56"/>
      <c r="D24" s="53"/>
      <c r="E24" s="56"/>
    </row>
    <row r="25" spans="1:8" ht="22.5" customHeight="1">
      <c r="A25" s="72"/>
      <c r="B25" s="56"/>
      <c r="D25" s="98"/>
      <c r="E25" s="73"/>
      <c r="H25" s="69">
        <f>E17+E20+E22+E23+30+74.7+89.64+20.3</f>
        <v>643175.86</v>
      </c>
    </row>
    <row r="26" spans="1:5" ht="22.5" customHeight="1" thickBot="1">
      <c r="A26" s="72"/>
      <c r="B26" s="71">
        <f>SUM(B18:B25)</f>
        <v>148585.04</v>
      </c>
      <c r="C26" s="74"/>
      <c r="D26" s="99"/>
      <c r="E26" s="71">
        <f>SUM(E18:E25)</f>
        <v>148585.04</v>
      </c>
    </row>
    <row r="27" spans="1:8" ht="22.5" customHeight="1" thickBot="1" thickTop="1">
      <c r="A27" s="72"/>
      <c r="B27" s="75">
        <f>(B17+B26)</f>
        <v>779817.48</v>
      </c>
      <c r="C27" s="50" t="s">
        <v>24</v>
      </c>
      <c r="D27" s="52"/>
      <c r="E27" s="75">
        <f>(E17+E26)</f>
        <v>779817.48</v>
      </c>
      <c r="H27" s="69"/>
    </row>
    <row r="28" spans="1:8" ht="24.75" thickTop="1">
      <c r="A28" s="72"/>
      <c r="B28" s="76"/>
      <c r="C28" s="50"/>
      <c r="D28" s="74"/>
      <c r="E28" s="76"/>
      <c r="H28" s="69"/>
    </row>
    <row r="29" spans="1:5" ht="24">
      <c r="A29" s="72"/>
      <c r="B29" s="76"/>
      <c r="C29" s="50"/>
      <c r="D29" s="74"/>
      <c r="E29" s="76"/>
    </row>
    <row r="30" spans="1:5" ht="24">
      <c r="A30" s="72"/>
      <c r="B30" s="76"/>
      <c r="C30" s="50"/>
      <c r="D30" s="74"/>
      <c r="E30" s="76"/>
    </row>
    <row r="31" spans="1:5" ht="24">
      <c r="A31" s="72"/>
      <c r="B31" s="76"/>
      <c r="C31" s="50"/>
      <c r="D31" s="74"/>
      <c r="E31" s="76"/>
    </row>
    <row r="32" spans="1:5" ht="24">
      <c r="A32" s="72"/>
      <c r="B32" s="76"/>
      <c r="C32" s="50"/>
      <c r="D32" s="74"/>
      <c r="E32" s="76"/>
    </row>
    <row r="33" spans="1:5" ht="24">
      <c r="A33" s="72"/>
      <c r="B33" s="76"/>
      <c r="C33" s="50"/>
      <c r="D33" s="74"/>
      <c r="E33" s="76"/>
    </row>
    <row r="34" spans="1:5" ht="24">
      <c r="A34" s="72"/>
      <c r="B34" s="76"/>
      <c r="C34" s="50"/>
      <c r="D34" s="74"/>
      <c r="E34" s="76"/>
    </row>
    <row r="35" spans="1:5" ht="24">
      <c r="A35" s="72"/>
      <c r="B35" s="76"/>
      <c r="C35" s="50"/>
      <c r="D35" s="74"/>
      <c r="E35" s="76"/>
    </row>
    <row r="36" spans="1:5" ht="24">
      <c r="A36" s="72"/>
      <c r="B36" s="76"/>
      <c r="C36" s="50"/>
      <c r="D36" s="74"/>
      <c r="E36" s="76"/>
    </row>
    <row r="37" spans="1:5" ht="24">
      <c r="A37" s="72"/>
      <c r="B37" s="76"/>
      <c r="C37" s="50"/>
      <c r="D37" s="74"/>
      <c r="E37" s="76"/>
    </row>
    <row r="38" spans="1:5" ht="20.25" customHeight="1">
      <c r="A38" s="72"/>
      <c r="B38" s="76"/>
      <c r="C38" s="50"/>
      <c r="D38" s="74"/>
      <c r="E38" s="76"/>
    </row>
    <row r="39" spans="1:5" ht="23.25" customHeight="1">
      <c r="A39" s="72"/>
      <c r="B39" s="76"/>
      <c r="C39" s="115" t="s">
        <v>82</v>
      </c>
      <c r="D39" s="115"/>
      <c r="E39" s="115"/>
    </row>
    <row r="40" spans="1:5" ht="20.25" customHeight="1">
      <c r="A40" s="105" t="s">
        <v>2</v>
      </c>
      <c r="B40" s="106"/>
      <c r="C40" s="77"/>
      <c r="D40" s="107" t="s">
        <v>3</v>
      </c>
      <c r="E40" s="60" t="s">
        <v>4</v>
      </c>
    </row>
    <row r="41" spans="1:7" ht="23.25" customHeight="1">
      <c r="A41" s="78" t="s">
        <v>5</v>
      </c>
      <c r="B41" s="63" t="s">
        <v>6</v>
      </c>
      <c r="C41" s="79" t="s">
        <v>7</v>
      </c>
      <c r="D41" s="108"/>
      <c r="E41" s="70" t="s">
        <v>6</v>
      </c>
      <c r="G41" s="48" t="s">
        <v>81</v>
      </c>
    </row>
    <row r="42" spans="1:5" ht="18" customHeight="1">
      <c r="A42" s="80" t="s">
        <v>8</v>
      </c>
      <c r="B42" s="67" t="s">
        <v>8</v>
      </c>
      <c r="C42" s="81"/>
      <c r="D42" s="109"/>
      <c r="E42" s="67" t="s">
        <v>8</v>
      </c>
    </row>
    <row r="43" spans="1:5" ht="21.75" customHeight="1">
      <c r="A43" s="55"/>
      <c r="B43" s="56"/>
      <c r="C43" s="48" t="s">
        <v>127</v>
      </c>
      <c r="D43" s="55"/>
      <c r="E43" s="56"/>
    </row>
    <row r="44" spans="1:5" ht="21.75" customHeight="1">
      <c r="A44" s="55"/>
      <c r="B44" s="56"/>
      <c r="C44" s="54" t="s">
        <v>81</v>
      </c>
      <c r="D44" s="53">
        <v>510000</v>
      </c>
      <c r="E44" s="56"/>
    </row>
    <row r="45" spans="1:5" ht="21.75" customHeight="1">
      <c r="A45" s="56">
        <v>1474570</v>
      </c>
      <c r="B45" s="56">
        <f>236502.5</f>
        <v>236502.5</v>
      </c>
      <c r="C45" s="48" t="s">
        <v>25</v>
      </c>
      <c r="D45" s="51" t="s">
        <v>102</v>
      </c>
      <c r="E45" s="56">
        <v>236502.5</v>
      </c>
    </row>
    <row r="46" spans="1:5" ht="21.75" customHeight="1">
      <c r="A46" s="56"/>
      <c r="B46" s="56"/>
      <c r="C46" s="54" t="s">
        <v>103</v>
      </c>
      <c r="D46" s="51"/>
      <c r="E46" s="56"/>
    </row>
    <row r="47" spans="1:5" ht="21.75" customHeight="1">
      <c r="A47" s="56">
        <v>1534320</v>
      </c>
      <c r="B47" s="56">
        <v>0</v>
      </c>
      <c r="C47" s="48" t="s">
        <v>99</v>
      </c>
      <c r="D47" s="51" t="s">
        <v>100</v>
      </c>
      <c r="E47" s="56">
        <v>0</v>
      </c>
    </row>
    <row r="48" spans="1:5" ht="21.75" customHeight="1">
      <c r="A48" s="56"/>
      <c r="B48" s="56"/>
      <c r="C48" s="48" t="s">
        <v>119</v>
      </c>
      <c r="D48" s="51" t="s">
        <v>101</v>
      </c>
      <c r="E48" s="56"/>
    </row>
    <row r="49" spans="1:5" ht="21.75" customHeight="1">
      <c r="A49" s="56">
        <f>1400000+180000+180000+650000+80000+42000+160000+50000+300000+25000+40000</f>
        <v>3107000</v>
      </c>
      <c r="B49" s="56">
        <f>220085</f>
        <v>220085</v>
      </c>
      <c r="C49" s="48" t="s">
        <v>120</v>
      </c>
      <c r="D49" s="51"/>
      <c r="E49" s="56">
        <v>220085</v>
      </c>
    </row>
    <row r="50" spans="1:9" ht="21.75" customHeight="1">
      <c r="A50" s="56">
        <f>150000+36000</f>
        <v>186000</v>
      </c>
      <c r="B50" s="56">
        <f>12285</f>
        <v>12285</v>
      </c>
      <c r="C50" s="48" t="s">
        <v>122</v>
      </c>
      <c r="D50" s="51"/>
      <c r="E50" s="56">
        <v>12285</v>
      </c>
      <c r="H50" s="82">
        <f>SUM(A47:A50)</f>
        <v>4827320</v>
      </c>
      <c r="I50" s="84">
        <f>2810000+1068000+460000+495000</f>
        <v>4833000</v>
      </c>
    </row>
    <row r="51" spans="1:9" ht="21.75" customHeight="1">
      <c r="A51" s="56">
        <f>600000+450000+80000+30000+160000+90000+80000+50000</f>
        <v>1540000</v>
      </c>
      <c r="B51" s="56">
        <f>129450</f>
        <v>129450</v>
      </c>
      <c r="C51" s="48" t="s">
        <v>121</v>
      </c>
      <c r="D51" s="51"/>
      <c r="E51" s="56">
        <v>129450</v>
      </c>
      <c r="H51" s="83"/>
      <c r="I51" s="97">
        <f>SUM(A49:A51)</f>
        <v>4833000</v>
      </c>
    </row>
    <row r="52" spans="1:8" ht="21.75" customHeight="1">
      <c r="A52" s="56"/>
      <c r="B52" s="56"/>
      <c r="C52" s="54" t="s">
        <v>104</v>
      </c>
      <c r="D52" s="95" t="s">
        <v>105</v>
      </c>
      <c r="E52" s="56"/>
      <c r="H52" s="84">
        <f>495000+460000+1068000+2810000</f>
        <v>4833000</v>
      </c>
    </row>
    <row r="53" spans="1:8" ht="21.75" customHeight="1">
      <c r="A53" s="56">
        <f>640000+230000+140000+130000+20000</f>
        <v>1160000</v>
      </c>
      <c r="B53" s="56">
        <f>109935</f>
        <v>109935</v>
      </c>
      <c r="C53" s="52" t="s">
        <v>123</v>
      </c>
      <c r="D53" s="51" t="s">
        <v>106</v>
      </c>
      <c r="E53" s="56">
        <v>109935</v>
      </c>
      <c r="H53" s="82">
        <f>A51+A52+A53</f>
        <v>2700000</v>
      </c>
    </row>
    <row r="54" spans="1:5" ht="21.75" customHeight="1">
      <c r="A54" s="56">
        <f>596040+80000+20000+710000+260000+360000+540000+180000+210000</f>
        <v>2956040</v>
      </c>
      <c r="B54" s="56">
        <v>51362</v>
      </c>
      <c r="C54" s="52" t="s">
        <v>124</v>
      </c>
      <c r="D54" s="51" t="s">
        <v>107</v>
      </c>
      <c r="E54" s="56">
        <v>51362</v>
      </c>
    </row>
    <row r="55" spans="1:5" ht="21.75" customHeight="1">
      <c r="A55" s="56">
        <f>520000+50000+382200+260000+175000+50000+100000</f>
        <v>1537200</v>
      </c>
      <c r="B55" s="56">
        <v>4920</v>
      </c>
      <c r="C55" s="52" t="s">
        <v>125</v>
      </c>
      <c r="D55" s="53">
        <v>533000</v>
      </c>
      <c r="E55" s="56">
        <v>4920</v>
      </c>
    </row>
    <row r="56" spans="1:5" ht="21.75" customHeight="1">
      <c r="A56" s="56">
        <f>275000+800000</f>
        <v>1075000</v>
      </c>
      <c r="B56" s="56">
        <v>84932.23</v>
      </c>
      <c r="C56" s="52" t="s">
        <v>126</v>
      </c>
      <c r="D56" s="51" t="s">
        <v>108</v>
      </c>
      <c r="E56" s="56">
        <v>84932.23</v>
      </c>
    </row>
    <row r="57" spans="1:5" ht="21.75" customHeight="1">
      <c r="A57" s="56"/>
      <c r="B57" s="56"/>
      <c r="C57" s="54" t="s">
        <v>109</v>
      </c>
      <c r="D57" s="95" t="s">
        <v>110</v>
      </c>
      <c r="E57" s="56"/>
    </row>
    <row r="58" spans="1:5" ht="21.75" customHeight="1">
      <c r="A58" s="56">
        <f>10950+14120+14000</f>
        <v>39070</v>
      </c>
      <c r="B58" s="56">
        <v>0</v>
      </c>
      <c r="C58" s="48" t="s">
        <v>130</v>
      </c>
      <c r="D58" s="51" t="s">
        <v>111</v>
      </c>
      <c r="E58" s="56">
        <v>0</v>
      </c>
    </row>
    <row r="59" spans="1:5" ht="21.75" customHeight="1">
      <c r="A59" s="56">
        <f>885000+3115000</f>
        <v>4000000</v>
      </c>
      <c r="B59" s="56">
        <v>0</v>
      </c>
      <c r="C59" s="48" t="s">
        <v>131</v>
      </c>
      <c r="D59" s="51" t="s">
        <v>112</v>
      </c>
      <c r="E59" s="56">
        <v>0</v>
      </c>
    </row>
    <row r="60" spans="1:5" ht="21.75" customHeight="1">
      <c r="A60" s="56"/>
      <c r="B60" s="56"/>
      <c r="C60" s="54" t="s">
        <v>113</v>
      </c>
      <c r="D60" s="95" t="s">
        <v>114</v>
      </c>
      <c r="E60" s="56">
        <v>0</v>
      </c>
    </row>
    <row r="61" spans="1:5" ht="21.75" customHeight="1">
      <c r="A61" s="56">
        <v>20000</v>
      </c>
      <c r="B61" s="57">
        <v>0</v>
      </c>
      <c r="C61" s="48" t="s">
        <v>132</v>
      </c>
      <c r="D61" s="51" t="s">
        <v>115</v>
      </c>
      <c r="E61" s="57">
        <v>0</v>
      </c>
    </row>
    <row r="62" spans="1:5" ht="21.75" customHeight="1">
      <c r="A62" s="56"/>
      <c r="B62" s="70">
        <v>0</v>
      </c>
      <c r="C62" s="54" t="s">
        <v>116</v>
      </c>
      <c r="D62" s="95" t="s">
        <v>117</v>
      </c>
      <c r="E62" s="70">
        <v>0</v>
      </c>
    </row>
    <row r="63" spans="1:5" ht="21.75" customHeight="1">
      <c r="A63" s="56">
        <f>40000+30000+840000</f>
        <v>910000</v>
      </c>
      <c r="B63" s="70">
        <v>0</v>
      </c>
      <c r="C63" s="48" t="s">
        <v>133</v>
      </c>
      <c r="D63" s="51" t="s">
        <v>118</v>
      </c>
      <c r="E63" s="70">
        <v>0</v>
      </c>
    </row>
    <row r="64" spans="1:5" ht="21.75" customHeight="1" thickBot="1">
      <c r="A64" s="71">
        <f>SUM(A44:A63)</f>
        <v>19539200</v>
      </c>
      <c r="B64" s="71">
        <f>SUM(B45:B63)</f>
        <v>849471.73</v>
      </c>
      <c r="D64" s="51"/>
      <c r="E64" s="71">
        <f>SUM(E45:E63)</f>
        <v>849471.73</v>
      </c>
    </row>
    <row r="65" spans="1:5" ht="21.75" customHeight="1" thickTop="1">
      <c r="A65" s="74"/>
      <c r="B65" s="56">
        <f>171459.18</f>
        <v>171459.18</v>
      </c>
      <c r="C65" s="48" t="s">
        <v>53</v>
      </c>
      <c r="D65" s="53">
        <v>230100</v>
      </c>
      <c r="E65" s="56">
        <v>171459.18</v>
      </c>
    </row>
    <row r="66" spans="1:5" ht="21.75" customHeight="1">
      <c r="A66" s="96"/>
      <c r="B66" s="56">
        <f>373900</f>
        <v>373900</v>
      </c>
      <c r="C66" s="48" t="s">
        <v>74</v>
      </c>
      <c r="D66" s="51" t="s">
        <v>135</v>
      </c>
      <c r="E66" s="56">
        <f>349400+24500</f>
        <v>373900</v>
      </c>
    </row>
    <row r="67" spans="1:5" ht="21.75" customHeight="1">
      <c r="A67" s="74"/>
      <c r="B67" s="56">
        <f>1221000</f>
        <v>1221000</v>
      </c>
      <c r="C67" s="48" t="s">
        <v>44</v>
      </c>
      <c r="D67" s="51" t="s">
        <v>136</v>
      </c>
      <c r="E67" s="56">
        <v>1221000</v>
      </c>
    </row>
    <row r="68" spans="1:5" ht="21.75" customHeight="1">
      <c r="A68" s="74"/>
      <c r="B68" s="56"/>
      <c r="D68" s="98"/>
      <c r="E68" s="56"/>
    </row>
    <row r="69" spans="1:5" ht="21.75" customHeight="1">
      <c r="A69" s="74"/>
      <c r="B69" s="85">
        <f>SUM(B65:B68)</f>
        <v>1766359.18</v>
      </c>
      <c r="C69" s="49"/>
      <c r="D69" s="74"/>
      <c r="E69" s="86">
        <f>SUM(E65:E68)</f>
        <v>1766359.18</v>
      </c>
    </row>
    <row r="70" spans="1:5" ht="21.75" customHeight="1" thickBot="1">
      <c r="A70" s="87"/>
      <c r="B70" s="71">
        <f>B64+B69</f>
        <v>2615830.91</v>
      </c>
      <c r="C70" s="103" t="s">
        <v>45</v>
      </c>
      <c r="D70" s="104"/>
      <c r="E70" s="71">
        <f>E64+E69</f>
        <v>2615830.91</v>
      </c>
    </row>
    <row r="71" spans="2:5" ht="21.75" customHeight="1" thickBot="1" thickTop="1">
      <c r="B71" s="71">
        <f>(B27-B70)</f>
        <v>-1836013.4300000002</v>
      </c>
      <c r="C71" s="103" t="s">
        <v>67</v>
      </c>
      <c r="D71" s="104"/>
      <c r="E71" s="71">
        <f>E27-E70</f>
        <v>-1836013.4300000002</v>
      </c>
    </row>
    <row r="72" spans="2:5" ht="21.75" customHeight="1" thickBot="1" thickTop="1">
      <c r="B72" s="71">
        <f>(B8+B27-B70)</f>
        <v>22904274.03</v>
      </c>
      <c r="C72" s="103" t="s">
        <v>46</v>
      </c>
      <c r="D72" s="104"/>
      <c r="E72" s="71">
        <f>(E8+E27-E70)</f>
        <v>22904274.03</v>
      </c>
    </row>
    <row r="73" spans="2:5" ht="23.25" customHeight="1" thickTop="1">
      <c r="B73" s="76"/>
      <c r="C73" s="79"/>
      <c r="D73" s="79"/>
      <c r="E73" s="76"/>
    </row>
    <row r="74" spans="1:5" ht="30.75" customHeight="1">
      <c r="A74" s="48" t="s">
        <v>78</v>
      </c>
      <c r="B74" s="76"/>
      <c r="C74" s="88" t="s">
        <v>139</v>
      </c>
      <c r="D74" s="116" t="s">
        <v>57</v>
      </c>
      <c r="E74" s="116"/>
    </row>
    <row r="75" spans="2:8" ht="42" customHeight="1">
      <c r="B75" s="58"/>
      <c r="E75" s="58"/>
      <c r="H75" s="69">
        <f>B72-E72</f>
        <v>0</v>
      </c>
    </row>
    <row r="76" spans="1:8" ht="24">
      <c r="A76" s="48" t="s">
        <v>137</v>
      </c>
      <c r="C76" s="48" t="s">
        <v>79</v>
      </c>
      <c r="D76" s="117" t="s">
        <v>69</v>
      </c>
      <c r="E76" s="117"/>
      <c r="H76" s="58">
        <v>25731291.94</v>
      </c>
    </row>
    <row r="77" spans="1:5" ht="24">
      <c r="A77" s="48" t="s">
        <v>138</v>
      </c>
      <c r="C77" s="48" t="s">
        <v>80</v>
      </c>
      <c r="D77" s="118" t="s">
        <v>140</v>
      </c>
      <c r="E77" s="118"/>
    </row>
    <row r="78" spans="2:5" ht="24">
      <c r="B78" s="58"/>
      <c r="D78" s="117" t="s">
        <v>141</v>
      </c>
      <c r="E78" s="117"/>
    </row>
  </sheetData>
  <sheetProtection/>
  <mergeCells count="13">
    <mergeCell ref="C71:D71"/>
    <mergeCell ref="D74:E74"/>
    <mergeCell ref="C72:D72"/>
    <mergeCell ref="D76:E76"/>
    <mergeCell ref="D77:E77"/>
    <mergeCell ref="D78:E78"/>
    <mergeCell ref="C70:D70"/>
    <mergeCell ref="A40:B40"/>
    <mergeCell ref="D40:D42"/>
    <mergeCell ref="A3:E3"/>
    <mergeCell ref="A5:B5"/>
    <mergeCell ref="D5:D7"/>
    <mergeCell ref="C39:E39"/>
  </mergeCells>
  <printOptions/>
  <pageMargins left="0.7874015748031497" right="0.1968503937007874" top="0.51" bottom="0.16" header="0.34" footer="0.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16.28125" style="0" customWidth="1"/>
    <col min="3" max="3" width="40.140625" style="0" customWidth="1"/>
    <col min="4" max="4" width="12.140625" style="0" customWidth="1"/>
    <col min="5" max="5" width="18.00390625" style="0" customWidth="1"/>
  </cols>
  <sheetData>
    <row r="1" spans="1:5" s="48" customFormat="1" ht="24">
      <c r="A1" s="89" t="s">
        <v>49</v>
      </c>
      <c r="B1" s="90"/>
      <c r="C1" s="89"/>
      <c r="D1" s="89"/>
      <c r="E1" s="90"/>
    </row>
    <row r="2" spans="1:5" s="48" customFormat="1" ht="24">
      <c r="A2" s="89" t="s">
        <v>0</v>
      </c>
      <c r="B2" s="90"/>
      <c r="C2" s="89"/>
      <c r="D2" s="54"/>
      <c r="E2" s="91" t="s">
        <v>83</v>
      </c>
    </row>
    <row r="3" spans="1:5" s="48" customFormat="1" ht="25.5" customHeight="1">
      <c r="A3" s="110" t="s">
        <v>1</v>
      </c>
      <c r="B3" s="110"/>
      <c r="C3" s="110"/>
      <c r="D3" s="110"/>
      <c r="E3" s="110"/>
    </row>
    <row r="4" spans="1:5" s="48" customFormat="1" ht="21.75" customHeight="1">
      <c r="A4" s="54"/>
      <c r="B4" s="92"/>
      <c r="C4" s="54"/>
      <c r="D4" s="93"/>
      <c r="E4" s="94" t="s">
        <v>166</v>
      </c>
    </row>
    <row r="5" spans="1:5" s="48" customFormat="1" ht="22.5" customHeight="1">
      <c r="A5" s="105" t="s">
        <v>2</v>
      </c>
      <c r="B5" s="106"/>
      <c r="C5" s="59"/>
      <c r="D5" s="107" t="s">
        <v>3</v>
      </c>
      <c r="E5" s="60" t="s">
        <v>4</v>
      </c>
    </row>
    <row r="6" spans="1:5" s="48" customFormat="1" ht="22.5" customHeight="1">
      <c r="A6" s="61" t="s">
        <v>5</v>
      </c>
      <c r="B6" s="62" t="s">
        <v>6</v>
      </c>
      <c r="C6" s="53" t="s">
        <v>7</v>
      </c>
      <c r="D6" s="108"/>
      <c r="E6" s="63" t="s">
        <v>6</v>
      </c>
    </row>
    <row r="7" spans="1:5" s="48" customFormat="1" ht="22.5" customHeight="1">
      <c r="A7" s="64" t="s">
        <v>8</v>
      </c>
      <c r="B7" s="65" t="s">
        <v>8</v>
      </c>
      <c r="C7" s="66"/>
      <c r="D7" s="109"/>
      <c r="E7" s="67" t="s">
        <v>8</v>
      </c>
    </row>
    <row r="8" spans="1:5" s="48" customFormat="1" ht="22.5" customHeight="1">
      <c r="A8" s="55"/>
      <c r="B8" s="68">
        <v>24740287.46</v>
      </c>
      <c r="C8" s="48" t="s">
        <v>9</v>
      </c>
      <c r="D8" s="55"/>
      <c r="E8" s="68">
        <v>27363845.01</v>
      </c>
    </row>
    <row r="9" spans="1:5" s="48" customFormat="1" ht="22.5" customHeight="1">
      <c r="A9" s="56"/>
      <c r="B9" s="56"/>
      <c r="C9" s="48" t="s">
        <v>134</v>
      </c>
      <c r="D9" s="55"/>
      <c r="E9" s="56"/>
    </row>
    <row r="10" spans="1:5" s="48" customFormat="1" ht="22.5" customHeight="1">
      <c r="A10" s="56">
        <v>456000</v>
      </c>
      <c r="B10" s="56">
        <f>615.88+31.15+70906.38+435748.15+266679.39+24083.04+9745.89+386.26+108.58</f>
        <v>808304.7200000001</v>
      </c>
      <c r="C10" s="48" t="s">
        <v>10</v>
      </c>
      <c r="D10" s="51" t="s">
        <v>84</v>
      </c>
      <c r="E10" s="56">
        <v>108.58</v>
      </c>
    </row>
    <row r="11" spans="1:5" s="48" customFormat="1" ht="22.5" customHeight="1">
      <c r="A11" s="56">
        <v>197300</v>
      </c>
      <c r="B11" s="70">
        <f>24882.7+28334.5+26373.6+28450.9+59943.8+60714.6+34080.4+32345.8+42328+30398.4</f>
        <v>367852.7</v>
      </c>
      <c r="C11" s="48" t="s">
        <v>12</v>
      </c>
      <c r="D11" s="51" t="s">
        <v>85</v>
      </c>
      <c r="E11" s="56">
        <v>30398.4</v>
      </c>
    </row>
    <row r="12" spans="1:5" s="48" customFormat="1" ht="22.5" customHeight="1">
      <c r="A12" s="56">
        <v>250000</v>
      </c>
      <c r="B12" s="56">
        <f>10175.69+68013.62+49779.9+78487.12+58395.46+69299.86+7598.19</f>
        <v>341749.83999999997</v>
      </c>
      <c r="C12" s="48" t="s">
        <v>14</v>
      </c>
      <c r="D12" s="51" t="s">
        <v>86</v>
      </c>
      <c r="E12" s="56">
        <v>7598.19</v>
      </c>
    </row>
    <row r="13" spans="1:5" s="48" customFormat="1" ht="22.5" customHeight="1">
      <c r="A13" s="56">
        <v>1100000</v>
      </c>
      <c r="B13" s="56">
        <f>77765+84250+101200+116935+111530+115800+127170+120075+117840+103130</f>
        <v>1075695</v>
      </c>
      <c r="C13" s="48" t="s">
        <v>16</v>
      </c>
      <c r="D13" s="51" t="s">
        <v>87</v>
      </c>
      <c r="E13" s="56">
        <v>103130</v>
      </c>
    </row>
    <row r="14" spans="1:5" s="48" customFormat="1" ht="22.5" customHeight="1">
      <c r="A14" s="56">
        <v>21500</v>
      </c>
      <c r="B14" s="70">
        <f>500+120+16000+10</f>
        <v>16630</v>
      </c>
      <c r="C14" s="48" t="s">
        <v>18</v>
      </c>
      <c r="D14" s="51" t="s">
        <v>88</v>
      </c>
      <c r="E14" s="70">
        <v>0</v>
      </c>
    </row>
    <row r="15" spans="1:5" s="48" customFormat="1" ht="22.5" customHeight="1">
      <c r="A15" s="70">
        <v>12222200</v>
      </c>
      <c r="B15" s="56">
        <f>517293.17+4216982.59+2868783.15+10+1400218.64+1025+3894482.59</f>
        <v>12898795.14</v>
      </c>
      <c r="C15" s="48" t="s">
        <v>20</v>
      </c>
      <c r="D15" s="51" t="s">
        <v>89</v>
      </c>
      <c r="E15" s="56">
        <v>3894482.59</v>
      </c>
    </row>
    <row r="16" spans="1:5" s="48" customFormat="1" ht="22.5" customHeight="1">
      <c r="A16" s="70">
        <v>5292200</v>
      </c>
      <c r="B16" s="56">
        <f>4318778</f>
        <v>4318778</v>
      </c>
      <c r="C16" s="48" t="s">
        <v>22</v>
      </c>
      <c r="D16" s="51" t="s">
        <v>90</v>
      </c>
      <c r="E16" s="56">
        <v>0</v>
      </c>
    </row>
    <row r="17" spans="1:5" s="48" customFormat="1" ht="22.5" customHeight="1" thickBot="1">
      <c r="A17" s="71">
        <f>SUM(A9:A16)</f>
        <v>19539200</v>
      </c>
      <c r="B17" s="71">
        <f>SUM(B10:B16)</f>
        <v>19827805.4</v>
      </c>
      <c r="D17" s="51"/>
      <c r="E17" s="71">
        <f>SUM(E10:E16)</f>
        <v>4035717.76</v>
      </c>
    </row>
    <row r="18" spans="1:5" s="48" customFormat="1" ht="22.5" customHeight="1" thickTop="1">
      <c r="A18" s="72"/>
      <c r="B18" s="56">
        <f>136856.26+131320.42+129633.91+235041.41+220513.83+209844.76+222668.72+160080.13+172699.99+159401.27</f>
        <v>1778060.7</v>
      </c>
      <c r="C18" s="48" t="s">
        <v>50</v>
      </c>
      <c r="D18" s="51" t="s">
        <v>91</v>
      </c>
      <c r="E18" s="56">
        <v>159401.27</v>
      </c>
    </row>
    <row r="19" spans="1:5" s="48" customFormat="1" ht="22.5" customHeight="1">
      <c r="A19" s="72"/>
      <c r="B19" s="56">
        <f>2096400+600+2097200+600</f>
        <v>4194800</v>
      </c>
      <c r="C19" s="49" t="s">
        <v>160</v>
      </c>
      <c r="D19" s="51" t="s">
        <v>159</v>
      </c>
      <c r="E19" s="56">
        <v>0</v>
      </c>
    </row>
    <row r="20" spans="1:5" s="48" customFormat="1" ht="22.5" customHeight="1">
      <c r="A20" s="72"/>
      <c r="B20" s="56">
        <f>147000+147500</f>
        <v>294500</v>
      </c>
      <c r="C20" s="49" t="s">
        <v>161</v>
      </c>
      <c r="D20" s="51" t="s">
        <v>159</v>
      </c>
      <c r="E20" s="56">
        <v>0</v>
      </c>
    </row>
    <row r="21" spans="1:5" s="48" customFormat="1" ht="22.5" customHeight="1">
      <c r="A21" s="72"/>
      <c r="B21" s="56">
        <v>0</v>
      </c>
      <c r="C21" s="49" t="s">
        <v>142</v>
      </c>
      <c r="D21" s="51" t="s">
        <v>95</v>
      </c>
      <c r="E21" s="56">
        <v>0</v>
      </c>
    </row>
    <row r="22" spans="1:5" s="48" customFormat="1" ht="22.5" customHeight="1">
      <c r="A22" s="72"/>
      <c r="B22" s="56">
        <f>713.78+8.9+15.13+26.7+194.02</f>
        <v>958.53</v>
      </c>
      <c r="C22" s="49" t="s">
        <v>143</v>
      </c>
      <c r="D22" s="51" t="s">
        <v>96</v>
      </c>
      <c r="E22" s="56">
        <v>0</v>
      </c>
    </row>
    <row r="23" spans="1:5" s="48" customFormat="1" ht="22.5" customHeight="1">
      <c r="A23" s="72"/>
      <c r="B23" s="56">
        <v>0</v>
      </c>
      <c r="C23" s="49" t="s">
        <v>144</v>
      </c>
      <c r="D23" s="51" t="s">
        <v>97</v>
      </c>
      <c r="E23" s="56">
        <v>0</v>
      </c>
    </row>
    <row r="24" spans="1:5" s="48" customFormat="1" ht="22.5" customHeight="1">
      <c r="A24" s="72"/>
      <c r="B24" s="56">
        <f>10005+535+5650</f>
        <v>16190</v>
      </c>
      <c r="C24" s="49" t="s">
        <v>145</v>
      </c>
      <c r="D24" s="51" t="s">
        <v>98</v>
      </c>
      <c r="E24" s="56">
        <v>0</v>
      </c>
    </row>
    <row r="25" spans="1:5" s="48" customFormat="1" ht="22.5" customHeight="1">
      <c r="A25" s="72"/>
      <c r="B25" s="56">
        <f>1010+300+60+120+180+60</f>
        <v>1730</v>
      </c>
      <c r="C25" s="49" t="s">
        <v>146</v>
      </c>
      <c r="D25" s="53">
        <v>110604</v>
      </c>
      <c r="E25" s="56">
        <v>0</v>
      </c>
    </row>
    <row r="26" spans="1:5" s="48" customFormat="1" ht="22.5" customHeight="1">
      <c r="A26" s="72"/>
      <c r="B26" s="56">
        <f>50+16.02+30</f>
        <v>96.02</v>
      </c>
      <c r="C26" s="74" t="s">
        <v>162</v>
      </c>
      <c r="D26" s="53">
        <v>310000</v>
      </c>
      <c r="E26" s="56">
        <v>0</v>
      </c>
    </row>
    <row r="27" spans="1:5" s="48" customFormat="1" ht="22.5" customHeight="1">
      <c r="A27" s="72"/>
      <c r="B27" s="56">
        <f>13440</f>
        <v>13440</v>
      </c>
      <c r="C27" s="48" t="s">
        <v>164</v>
      </c>
      <c r="D27" s="98" t="s">
        <v>165</v>
      </c>
      <c r="E27" s="73">
        <v>0</v>
      </c>
    </row>
    <row r="28" spans="1:5" s="48" customFormat="1" ht="22.5" customHeight="1" thickBot="1">
      <c r="A28" s="72"/>
      <c r="B28" s="71">
        <f>SUM(B18:B27)</f>
        <v>6299775.25</v>
      </c>
      <c r="C28" s="74"/>
      <c r="D28" s="99"/>
      <c r="E28" s="71">
        <f>SUM(E18:E27)</f>
        <v>159401.27</v>
      </c>
    </row>
    <row r="29" spans="1:5" s="48" customFormat="1" ht="22.5" customHeight="1" thickBot="1" thickTop="1">
      <c r="A29" s="72"/>
      <c r="B29" s="75">
        <f>(B17+B28)</f>
        <v>26127580.65</v>
      </c>
      <c r="C29" s="50" t="s">
        <v>24</v>
      </c>
      <c r="D29" s="52"/>
      <c r="E29" s="75">
        <f>(E17+E28)</f>
        <v>4195119.029999999</v>
      </c>
    </row>
    <row r="30" spans="1:5" s="48" customFormat="1" ht="24.75" thickTop="1">
      <c r="A30" s="72"/>
      <c r="B30" s="76"/>
      <c r="C30" s="50"/>
      <c r="D30" s="74"/>
      <c r="E30" s="76"/>
    </row>
    <row r="31" spans="1:5" s="48" customFormat="1" ht="24">
      <c r="A31" s="72"/>
      <c r="B31" s="76"/>
      <c r="C31" s="50"/>
      <c r="D31" s="74"/>
      <c r="E31" s="76"/>
    </row>
    <row r="32" spans="1:5" s="48" customFormat="1" ht="24">
      <c r="A32" s="72"/>
      <c r="B32" s="76"/>
      <c r="C32" s="50"/>
      <c r="D32" s="74"/>
      <c r="E32" s="76"/>
    </row>
    <row r="33" spans="1:5" s="48" customFormat="1" ht="24">
      <c r="A33" s="72"/>
      <c r="B33" s="76"/>
      <c r="C33" s="50"/>
      <c r="D33" s="74"/>
      <c r="E33" s="76"/>
    </row>
    <row r="34" spans="1:5" s="48" customFormat="1" ht="24">
      <c r="A34" s="72"/>
      <c r="B34" s="76"/>
      <c r="C34" s="50"/>
      <c r="D34" s="74"/>
      <c r="E34" s="76"/>
    </row>
    <row r="35" spans="1:5" s="48" customFormat="1" ht="24">
      <c r="A35" s="72"/>
      <c r="B35" s="76"/>
      <c r="C35" s="50"/>
      <c r="D35" s="74"/>
      <c r="E35" s="76"/>
    </row>
    <row r="36" spans="1:5" s="48" customFormat="1" ht="24">
      <c r="A36" s="72"/>
      <c r="B36" s="76"/>
      <c r="C36" s="50"/>
      <c r="D36" s="74"/>
      <c r="E36" s="76"/>
    </row>
    <row r="37" spans="1:5" s="48" customFormat="1" ht="24">
      <c r="A37" s="72"/>
      <c r="B37" s="76"/>
      <c r="C37" s="50"/>
      <c r="D37" s="74"/>
      <c r="E37" s="76"/>
    </row>
    <row r="38" spans="1:5" s="48" customFormat="1" ht="26.25" customHeight="1">
      <c r="A38" s="72"/>
      <c r="B38" s="76"/>
      <c r="C38" s="50"/>
      <c r="D38" s="74"/>
      <c r="E38" s="76"/>
    </row>
    <row r="39" spans="1:5" s="48" customFormat="1" ht="26.25" customHeight="1">
      <c r="A39" s="72"/>
      <c r="B39" s="76"/>
      <c r="C39" s="50"/>
      <c r="D39" s="74"/>
      <c r="E39" s="76"/>
    </row>
    <row r="40" spans="1:5" s="48" customFormat="1" ht="18" customHeight="1">
      <c r="A40" s="72"/>
      <c r="B40" s="76"/>
      <c r="C40" s="50" t="s">
        <v>163</v>
      </c>
      <c r="D40" s="74"/>
      <c r="E40" s="76"/>
    </row>
    <row r="41" spans="1:5" s="48" customFormat="1" ht="21.75" customHeight="1">
      <c r="A41" s="72"/>
      <c r="B41" s="76"/>
      <c r="C41" s="100"/>
      <c r="D41" s="93"/>
      <c r="E41" s="94" t="s">
        <v>166</v>
      </c>
    </row>
    <row r="42" spans="1:5" s="48" customFormat="1" ht="20.25" customHeight="1">
      <c r="A42" s="105" t="s">
        <v>2</v>
      </c>
      <c r="B42" s="106"/>
      <c r="C42" s="77"/>
      <c r="D42" s="107" t="s">
        <v>3</v>
      </c>
      <c r="E42" s="60" t="s">
        <v>4</v>
      </c>
    </row>
    <row r="43" spans="1:5" s="48" customFormat="1" ht="23.25" customHeight="1">
      <c r="A43" s="78" t="s">
        <v>5</v>
      </c>
      <c r="B43" s="63" t="s">
        <v>6</v>
      </c>
      <c r="C43" s="79" t="s">
        <v>7</v>
      </c>
      <c r="D43" s="108"/>
      <c r="E43" s="70" t="s">
        <v>6</v>
      </c>
    </row>
    <row r="44" spans="1:5" s="48" customFormat="1" ht="18" customHeight="1">
      <c r="A44" s="80" t="s">
        <v>8</v>
      </c>
      <c r="B44" s="67" t="s">
        <v>8</v>
      </c>
      <c r="C44" s="81"/>
      <c r="D44" s="109"/>
      <c r="E44" s="67" t="s">
        <v>8</v>
      </c>
    </row>
    <row r="45" spans="1:5" s="48" customFormat="1" ht="19.5" customHeight="1">
      <c r="A45" s="55"/>
      <c r="B45" s="56"/>
      <c r="C45" s="48" t="s">
        <v>127</v>
      </c>
      <c r="D45" s="55"/>
      <c r="E45" s="56"/>
    </row>
    <row r="46" spans="1:5" s="48" customFormat="1" ht="19.5" customHeight="1">
      <c r="A46" s="55"/>
      <c r="B46" s="56"/>
      <c r="C46" s="54" t="s">
        <v>81</v>
      </c>
      <c r="D46" s="53">
        <v>510000</v>
      </c>
      <c r="E46" s="56"/>
    </row>
    <row r="47" spans="1:5" s="48" customFormat="1" ht="21.75" customHeight="1">
      <c r="A47" s="56">
        <v>1474570</v>
      </c>
      <c r="B47" s="56">
        <f>236502.5+92186+154326+57973+7973+58423+8423+8423+8793+7823</f>
        <v>640845.5</v>
      </c>
      <c r="C47" s="48" t="s">
        <v>149</v>
      </c>
      <c r="D47" s="51" t="s">
        <v>102</v>
      </c>
      <c r="E47" s="56">
        <v>7823</v>
      </c>
    </row>
    <row r="48" spans="1:5" s="48" customFormat="1" ht="19.5" customHeight="1">
      <c r="A48" s="56"/>
      <c r="B48" s="56"/>
      <c r="C48" s="54" t="s">
        <v>103</v>
      </c>
      <c r="D48" s="51"/>
      <c r="E48" s="56"/>
    </row>
    <row r="49" spans="1:5" s="48" customFormat="1" ht="21.75" customHeight="1">
      <c r="A49" s="56">
        <v>1534320</v>
      </c>
      <c r="B49" s="56">
        <f>117014+127860+127860+127860+127860+127860+127860+127860+127860</f>
        <v>1139894</v>
      </c>
      <c r="C49" s="48" t="s">
        <v>150</v>
      </c>
      <c r="D49" s="51" t="s">
        <v>100</v>
      </c>
      <c r="E49" s="56">
        <f>57060+70800</f>
        <v>127860</v>
      </c>
    </row>
    <row r="50" spans="1:5" s="48" customFormat="1" ht="21.75" customHeight="1">
      <c r="A50" s="56"/>
      <c r="B50" s="56"/>
      <c r="C50" s="48" t="s">
        <v>151</v>
      </c>
      <c r="D50" s="51" t="s">
        <v>101</v>
      </c>
      <c r="E50" s="56"/>
    </row>
    <row r="51" spans="1:5" s="48" customFormat="1" ht="21.75" customHeight="1">
      <c r="A51" s="56">
        <f>1400000+180000+180000+650000+80000+42000+160000+50000+300000+25000+40000</f>
        <v>3107000</v>
      </c>
      <c r="B51" s="56">
        <f>220085+220085+239910+222291+223467+222280+208040+207400+191060+191060</f>
        <v>2145678</v>
      </c>
      <c r="C51" s="48" t="s">
        <v>152</v>
      </c>
      <c r="D51" s="51"/>
      <c r="E51" s="56">
        <v>191060</v>
      </c>
    </row>
    <row r="52" spans="1:5" s="48" customFormat="1" ht="21.75" customHeight="1">
      <c r="A52" s="56">
        <f>150000+36000</f>
        <v>186000</v>
      </c>
      <c r="B52" s="56">
        <f>12285+12285+12285+12285+12285+12285+13550+15000+15000+15000</f>
        <v>132260</v>
      </c>
      <c r="C52" s="48" t="s">
        <v>153</v>
      </c>
      <c r="D52" s="51"/>
      <c r="E52" s="56">
        <v>15000</v>
      </c>
    </row>
    <row r="53" spans="1:5" s="48" customFormat="1" ht="21.75" customHeight="1">
      <c r="A53" s="102">
        <f>600000+450000+80000+30000+160000+90000+80000+50000+110000+10000+11770</f>
        <v>1671770</v>
      </c>
      <c r="B53" s="56">
        <f>129450+129450+129450+129450+129450+138450+138450+138450+155850+156450</f>
        <v>1374900</v>
      </c>
      <c r="C53" s="48" t="s">
        <v>154</v>
      </c>
      <c r="D53" s="51"/>
      <c r="E53" s="56">
        <v>156450</v>
      </c>
    </row>
    <row r="54" spans="1:5" s="48" customFormat="1" ht="19.5" customHeight="1">
      <c r="A54" s="56"/>
      <c r="B54" s="56"/>
      <c r="C54" s="54" t="s">
        <v>104</v>
      </c>
      <c r="D54" s="95" t="s">
        <v>105</v>
      </c>
      <c r="E54" s="56"/>
    </row>
    <row r="55" spans="1:5" s="48" customFormat="1" ht="21.75" customHeight="1">
      <c r="A55" s="101">
        <f>640000+230000+140000+130000+20000-85000-10000</f>
        <v>1065000</v>
      </c>
      <c r="B55" s="56">
        <f>109935+12139+8900+11200+9500+11675+7800+7100+7202+11645</f>
        <v>197096</v>
      </c>
      <c r="C55" s="52" t="s">
        <v>123</v>
      </c>
      <c r="D55" s="51" t="s">
        <v>106</v>
      </c>
      <c r="E55" s="56">
        <v>11645</v>
      </c>
    </row>
    <row r="56" spans="1:5" s="48" customFormat="1" ht="21.75" customHeight="1">
      <c r="A56" s="102">
        <f>596040+80000+20000+710000+260000+360000+540000+180000+210000+159000-9619.1-50000-53819.5-79002.5-110000</f>
        <v>2812598.9</v>
      </c>
      <c r="B56" s="56">
        <f>51362+112092+302452.92+189837+253299-4200+295938.4+184664+106060.97+246955+164910</f>
        <v>1903371.2899999998</v>
      </c>
      <c r="C56" s="52" t="s">
        <v>124</v>
      </c>
      <c r="D56" s="51" t="s">
        <v>107</v>
      </c>
      <c r="E56" s="56">
        <v>164910</v>
      </c>
    </row>
    <row r="57" spans="1:5" s="48" customFormat="1" ht="21.75" customHeight="1">
      <c r="A57" s="102">
        <f>520000+50000+382200+260000+175000+50000+100000+9619.1+50000+53819.5+79002.5</f>
        <v>1729641.1</v>
      </c>
      <c r="B57" s="56">
        <f>4920+57547.6+70490+107382.86+104694.64+257207.57+257209.72+227375+48691.5+181603.4</f>
        <v>1317122.29</v>
      </c>
      <c r="C57" s="52" t="s">
        <v>125</v>
      </c>
      <c r="D57" s="53">
        <v>533000</v>
      </c>
      <c r="E57" s="56">
        <v>181603.4</v>
      </c>
    </row>
    <row r="58" spans="1:5" s="48" customFormat="1" ht="21.75" customHeight="1">
      <c r="A58" s="102">
        <f>275000+800000-11770</f>
        <v>1063230</v>
      </c>
      <c r="B58" s="56">
        <f>84932.23+173426.05+10462.08+163033.38+101058.38+98728.73+110160.94+99874.53+96400.63</f>
        <v>938076.9500000001</v>
      </c>
      <c r="C58" s="52" t="s">
        <v>126</v>
      </c>
      <c r="D58" s="51" t="s">
        <v>108</v>
      </c>
      <c r="E58" s="56">
        <v>96400.63</v>
      </c>
    </row>
    <row r="59" spans="1:5" s="48" customFormat="1" ht="17.25" customHeight="1">
      <c r="A59" s="56"/>
      <c r="B59" s="56"/>
      <c r="C59" s="54" t="s">
        <v>109</v>
      </c>
      <c r="D59" s="95" t="s">
        <v>110</v>
      </c>
      <c r="E59" s="56"/>
    </row>
    <row r="60" spans="1:5" s="48" customFormat="1" ht="21.75" customHeight="1">
      <c r="A60" s="101">
        <f>10950+14120+14000+85000+1000</f>
        <v>125070</v>
      </c>
      <c r="B60" s="56">
        <f>21240+85000+18000</f>
        <v>124240</v>
      </c>
      <c r="C60" s="48" t="s">
        <v>130</v>
      </c>
      <c r="D60" s="51" t="s">
        <v>111</v>
      </c>
      <c r="E60" s="56">
        <v>18000</v>
      </c>
    </row>
    <row r="61" spans="1:5" s="48" customFormat="1" ht="21.75" customHeight="1">
      <c r="A61" s="101">
        <f>885000+3115000-159000-1000</f>
        <v>3840000</v>
      </c>
      <c r="B61" s="56">
        <f>71000+634000+1612000</f>
        <v>2317000</v>
      </c>
      <c r="C61" s="48" t="s">
        <v>131</v>
      </c>
      <c r="D61" s="51" t="s">
        <v>112</v>
      </c>
      <c r="E61" s="56">
        <v>0</v>
      </c>
    </row>
    <row r="62" spans="1:5" s="48" customFormat="1" ht="21.75" customHeight="1">
      <c r="A62" s="56"/>
      <c r="B62" s="56"/>
      <c r="C62" s="54" t="s">
        <v>113</v>
      </c>
      <c r="D62" s="95" t="s">
        <v>114</v>
      </c>
      <c r="E62" s="56">
        <v>0</v>
      </c>
    </row>
    <row r="63" spans="1:5" s="48" customFormat="1" ht="21.75" customHeight="1">
      <c r="A63" s="56">
        <v>20000</v>
      </c>
      <c r="B63" s="57">
        <v>0</v>
      </c>
      <c r="C63" s="48" t="s">
        <v>132</v>
      </c>
      <c r="D63" s="51" t="s">
        <v>115</v>
      </c>
      <c r="E63" s="57">
        <v>0</v>
      </c>
    </row>
    <row r="64" spans="1:5" s="48" customFormat="1" ht="21" customHeight="1">
      <c r="A64" s="56"/>
      <c r="B64" s="70">
        <v>0</v>
      </c>
      <c r="C64" s="54" t="s">
        <v>116</v>
      </c>
      <c r="D64" s="95" t="s">
        <v>117</v>
      </c>
      <c r="E64" s="70">
        <v>0</v>
      </c>
    </row>
    <row r="65" spans="1:5" s="48" customFormat="1" ht="21.75" customHeight="1">
      <c r="A65" s="56">
        <f>40000+30000+840000</f>
        <v>910000</v>
      </c>
      <c r="B65" s="70">
        <f>446000+30000</f>
        <v>476000</v>
      </c>
      <c r="C65" s="48" t="s">
        <v>148</v>
      </c>
      <c r="D65" s="51" t="s">
        <v>118</v>
      </c>
      <c r="E65" s="70">
        <v>0</v>
      </c>
    </row>
    <row r="66" spans="1:5" s="48" customFormat="1" ht="21.75" customHeight="1" thickBot="1">
      <c r="A66" s="71">
        <f>SUM(A46:A65)</f>
        <v>19539200</v>
      </c>
      <c r="B66" s="71">
        <f>SUM(B47:B65)</f>
        <v>12706484.03</v>
      </c>
      <c r="D66" s="51"/>
      <c r="E66" s="71">
        <f>SUM(E47:E65)</f>
        <v>970752.03</v>
      </c>
    </row>
    <row r="67" spans="1:5" s="48" customFormat="1" ht="21.75" customHeight="1" thickTop="1">
      <c r="A67" s="74"/>
      <c r="B67" s="56">
        <f>171459.18+135324.62+136688.92+134082.66+250800.61+166657.91+155931.45+241731.9+159367.82+177593.25</f>
        <v>1729638.32</v>
      </c>
      <c r="C67" s="48" t="s">
        <v>53</v>
      </c>
      <c r="D67" s="53">
        <v>230100</v>
      </c>
      <c r="E67" s="56">
        <v>177593.25</v>
      </c>
    </row>
    <row r="68" spans="1:5" s="48" customFormat="1" ht="21.75" customHeight="1">
      <c r="A68" s="96"/>
      <c r="B68" s="56">
        <f>373900+371900+370700+368800+367300+366700+366700+366700+362400+360500</f>
        <v>3675600</v>
      </c>
      <c r="C68" s="48" t="s">
        <v>74</v>
      </c>
      <c r="D68" s="51" t="s">
        <v>135</v>
      </c>
      <c r="E68" s="56">
        <f>337000+23500</f>
        <v>360500</v>
      </c>
    </row>
    <row r="69" spans="1:5" s="48" customFormat="1" ht="21.75" customHeight="1">
      <c r="A69" s="74"/>
      <c r="B69" s="56">
        <f>1221000+739000+331187+250695</f>
        <v>2541882</v>
      </c>
      <c r="C69" s="48" t="s">
        <v>44</v>
      </c>
      <c r="D69" s="51" t="s">
        <v>136</v>
      </c>
      <c r="E69" s="56">
        <v>250695</v>
      </c>
    </row>
    <row r="70" spans="1:5" s="48" customFormat="1" ht="21.75" customHeight="1">
      <c r="A70" s="74"/>
      <c r="B70" s="56">
        <f>259000</f>
        <v>259000</v>
      </c>
      <c r="C70" s="48" t="s">
        <v>71</v>
      </c>
      <c r="D70" s="51" t="s">
        <v>147</v>
      </c>
      <c r="E70" s="56">
        <v>0</v>
      </c>
    </row>
    <row r="71" spans="1:5" s="48" customFormat="1" ht="21.75" customHeight="1">
      <c r="A71" s="74"/>
      <c r="B71" s="56">
        <f>13440+4200+37800+33600+66800+57550</f>
        <v>213390</v>
      </c>
      <c r="C71" s="48" t="s">
        <v>77</v>
      </c>
      <c r="D71" s="98" t="s">
        <v>165</v>
      </c>
      <c r="E71" s="56">
        <f>1000+56550</f>
        <v>57550</v>
      </c>
    </row>
    <row r="72" spans="1:5" s="48" customFormat="1" ht="21.75" customHeight="1">
      <c r="A72" s="74"/>
      <c r="B72" s="85">
        <f>SUM(B67:B71)</f>
        <v>8419510.32</v>
      </c>
      <c r="C72" s="49"/>
      <c r="D72" s="74"/>
      <c r="E72" s="86">
        <f>SUM(E67:E71)</f>
        <v>846338.25</v>
      </c>
    </row>
    <row r="73" spans="1:5" s="48" customFormat="1" ht="21.75" customHeight="1" thickBot="1">
      <c r="A73" s="87"/>
      <c r="B73" s="71">
        <f>B66+B72</f>
        <v>21125994.35</v>
      </c>
      <c r="C73" s="103" t="s">
        <v>45</v>
      </c>
      <c r="D73" s="104"/>
      <c r="E73" s="71">
        <f>E66+E72</f>
        <v>1817090.28</v>
      </c>
    </row>
    <row r="74" spans="2:5" s="48" customFormat="1" ht="21.75" customHeight="1" thickBot="1" thickTop="1">
      <c r="B74" s="71">
        <f>(B29-B73)</f>
        <v>5001586.299999997</v>
      </c>
      <c r="C74" s="103" t="s">
        <v>67</v>
      </c>
      <c r="D74" s="104"/>
      <c r="E74" s="71">
        <f>E29-E73</f>
        <v>2378028.749999999</v>
      </c>
    </row>
    <row r="75" spans="2:5" s="48" customFormat="1" ht="21.75" customHeight="1" thickBot="1" thickTop="1">
      <c r="B75" s="71">
        <f>(B8+B29-B73)</f>
        <v>29741873.759999998</v>
      </c>
      <c r="C75" s="103" t="s">
        <v>46</v>
      </c>
      <c r="D75" s="104"/>
      <c r="E75" s="71">
        <f>(E8+E29-E73)</f>
        <v>29741873.759999998</v>
      </c>
    </row>
    <row r="76" spans="2:5" s="48" customFormat="1" ht="9.75" customHeight="1" thickTop="1">
      <c r="B76" s="76"/>
      <c r="C76" s="79"/>
      <c r="D76" s="79"/>
      <c r="E76" s="76"/>
    </row>
    <row r="77" spans="1:5" s="48" customFormat="1" ht="29.25" customHeight="1">
      <c r="A77" s="48" t="s">
        <v>78</v>
      </c>
      <c r="B77" s="76"/>
      <c r="C77" s="88" t="s">
        <v>139</v>
      </c>
      <c r="D77" s="116" t="s">
        <v>57</v>
      </c>
      <c r="E77" s="116"/>
    </row>
    <row r="78" spans="2:5" s="48" customFormat="1" ht="41.25" customHeight="1">
      <c r="B78" s="58"/>
      <c r="E78" s="58"/>
    </row>
    <row r="79" spans="1:5" s="48" customFormat="1" ht="20.25" customHeight="1">
      <c r="A79" s="48" t="s">
        <v>79</v>
      </c>
      <c r="C79" s="48" t="s">
        <v>155</v>
      </c>
      <c r="D79" s="119" t="s">
        <v>158</v>
      </c>
      <c r="E79" s="119"/>
    </row>
    <row r="80" spans="1:5" s="48" customFormat="1" ht="21.75" customHeight="1">
      <c r="A80" s="48" t="s">
        <v>80</v>
      </c>
      <c r="C80" s="48" t="s">
        <v>156</v>
      </c>
      <c r="D80" s="118" t="s">
        <v>157</v>
      </c>
      <c r="E80" s="118"/>
    </row>
    <row r="81" spans="2:5" s="48" customFormat="1" ht="24">
      <c r="B81" s="58"/>
      <c r="D81" s="119"/>
      <c r="E81" s="119"/>
    </row>
    <row r="82" spans="2:5" s="48" customFormat="1" ht="24">
      <c r="B82" s="58"/>
      <c r="D82" s="50"/>
      <c r="E82" s="50"/>
    </row>
    <row r="83" spans="2:5" s="48" customFormat="1" ht="24">
      <c r="B83" s="58"/>
      <c r="D83" s="50"/>
      <c r="E83" s="50"/>
    </row>
    <row r="84" spans="2:5" s="48" customFormat="1" ht="24">
      <c r="B84" s="58"/>
      <c r="D84" s="50"/>
      <c r="E84" s="50"/>
    </row>
    <row r="85" spans="2:5" s="48" customFormat="1" ht="24">
      <c r="B85" s="58"/>
      <c r="D85" s="50"/>
      <c r="E85" s="50"/>
    </row>
    <row r="86" spans="2:5" s="48" customFormat="1" ht="24">
      <c r="B86" s="58"/>
      <c r="D86" s="50"/>
      <c r="E86" s="50"/>
    </row>
    <row r="87" spans="2:5" s="48" customFormat="1" ht="24">
      <c r="B87" s="58"/>
      <c r="D87" s="50"/>
      <c r="E87" s="50"/>
    </row>
    <row r="88" spans="2:5" s="48" customFormat="1" ht="24">
      <c r="B88" s="58"/>
      <c r="D88" s="50"/>
      <c r="E88" s="50"/>
    </row>
    <row r="89" spans="2:5" s="48" customFormat="1" ht="24">
      <c r="B89" s="58"/>
      <c r="D89" s="50"/>
      <c r="E89" s="50"/>
    </row>
    <row r="90" spans="2:5" s="48" customFormat="1" ht="24">
      <c r="B90" s="58"/>
      <c r="D90" s="50"/>
      <c r="E90" s="50"/>
    </row>
    <row r="91" spans="2:5" s="48" customFormat="1" ht="24">
      <c r="B91" s="58"/>
      <c r="D91" s="50"/>
      <c r="E91" s="50"/>
    </row>
    <row r="92" spans="2:5" s="48" customFormat="1" ht="24">
      <c r="B92" s="58"/>
      <c r="D92" s="50"/>
      <c r="E92" s="50"/>
    </row>
    <row r="93" spans="2:5" s="48" customFormat="1" ht="24">
      <c r="B93" s="58"/>
      <c r="D93" s="50"/>
      <c r="E93" s="50"/>
    </row>
    <row r="94" spans="2:5" s="48" customFormat="1" ht="24">
      <c r="B94" s="58"/>
      <c r="D94" s="50"/>
      <c r="E94" s="50"/>
    </row>
    <row r="95" spans="2:5" s="48" customFormat="1" ht="24">
      <c r="B95" s="58"/>
      <c r="D95" s="50"/>
      <c r="E95" s="50"/>
    </row>
    <row r="96" spans="2:5" s="48" customFormat="1" ht="24">
      <c r="B96" s="58"/>
      <c r="D96" s="50"/>
      <c r="E96" s="50"/>
    </row>
    <row r="97" spans="2:5" s="48" customFormat="1" ht="24">
      <c r="B97" s="58"/>
      <c r="D97" s="50"/>
      <c r="E97" s="50"/>
    </row>
    <row r="98" spans="2:5" s="48" customFormat="1" ht="24">
      <c r="B98" s="58"/>
      <c r="D98" s="50"/>
      <c r="E98" s="50"/>
    </row>
    <row r="99" spans="2:5" s="48" customFormat="1" ht="24">
      <c r="B99" s="58"/>
      <c r="D99" s="50"/>
      <c r="E99" s="50"/>
    </row>
    <row r="100" spans="2:5" s="48" customFormat="1" ht="24">
      <c r="B100" s="58"/>
      <c r="D100" s="50"/>
      <c r="E100" s="50"/>
    </row>
    <row r="101" spans="2:5" s="48" customFormat="1" ht="24">
      <c r="B101" s="58"/>
      <c r="D101" s="50"/>
      <c r="E101" s="50"/>
    </row>
    <row r="102" spans="2:5" s="48" customFormat="1" ht="24">
      <c r="B102" s="58"/>
      <c r="D102" s="50"/>
      <c r="E102" s="50"/>
    </row>
    <row r="103" spans="2:5" s="48" customFormat="1" ht="24">
      <c r="B103" s="58"/>
      <c r="D103" s="50"/>
      <c r="E103" s="50"/>
    </row>
    <row r="104" spans="2:5" s="48" customFormat="1" ht="24">
      <c r="B104" s="58"/>
      <c r="D104" s="50"/>
      <c r="E104" s="50"/>
    </row>
    <row r="105" spans="2:5" s="48" customFormat="1" ht="24">
      <c r="B105" s="58"/>
      <c r="D105" s="50"/>
      <c r="E105" s="50"/>
    </row>
    <row r="106" spans="2:5" s="48" customFormat="1" ht="24">
      <c r="B106" s="58"/>
      <c r="D106" s="50"/>
      <c r="E106" s="50"/>
    </row>
    <row r="107" spans="2:5" s="48" customFormat="1" ht="24">
      <c r="B107" s="58"/>
      <c r="D107" s="50"/>
      <c r="E107" s="50"/>
    </row>
    <row r="108" spans="2:5" s="48" customFormat="1" ht="24">
      <c r="B108" s="58"/>
      <c r="D108" s="50"/>
      <c r="E108" s="50"/>
    </row>
    <row r="109" spans="2:5" s="48" customFormat="1" ht="24">
      <c r="B109" s="58"/>
      <c r="D109" s="50"/>
      <c r="E109" s="50"/>
    </row>
    <row r="110" spans="2:5" s="48" customFormat="1" ht="24">
      <c r="B110" s="58"/>
      <c r="D110" s="50"/>
      <c r="E110" s="50"/>
    </row>
    <row r="111" spans="2:5" s="48" customFormat="1" ht="24">
      <c r="B111" s="58"/>
      <c r="D111" s="50"/>
      <c r="E111" s="50"/>
    </row>
    <row r="112" spans="2:5" s="48" customFormat="1" ht="24">
      <c r="B112" s="58"/>
      <c r="D112" s="50"/>
      <c r="E112" s="50"/>
    </row>
    <row r="113" spans="2:5" s="48" customFormat="1" ht="24">
      <c r="B113" s="58"/>
      <c r="D113" s="50"/>
      <c r="E113" s="50"/>
    </row>
    <row r="114" spans="2:5" s="48" customFormat="1" ht="24">
      <c r="B114" s="58"/>
      <c r="D114" s="50"/>
      <c r="E114" s="50"/>
    </row>
    <row r="115" spans="2:5" s="48" customFormat="1" ht="24">
      <c r="B115" s="58"/>
      <c r="D115" s="50"/>
      <c r="E115" s="50"/>
    </row>
    <row r="116" spans="2:5" s="48" customFormat="1" ht="24">
      <c r="B116" s="58"/>
      <c r="D116" s="50"/>
      <c r="E116" s="50"/>
    </row>
    <row r="117" spans="2:5" s="48" customFormat="1" ht="24">
      <c r="B117" s="58"/>
      <c r="D117" s="50"/>
      <c r="E117" s="50"/>
    </row>
    <row r="118" spans="2:5" s="48" customFormat="1" ht="24">
      <c r="B118" s="58"/>
      <c r="D118" s="50"/>
      <c r="E118" s="50"/>
    </row>
    <row r="119" spans="2:5" s="48" customFormat="1" ht="24">
      <c r="B119" s="58"/>
      <c r="D119" s="50"/>
      <c r="E119" s="50"/>
    </row>
    <row r="120" spans="2:5" s="48" customFormat="1" ht="24">
      <c r="B120" s="58"/>
      <c r="D120" s="50"/>
      <c r="E120" s="50"/>
    </row>
    <row r="121" spans="2:5" s="48" customFormat="1" ht="24">
      <c r="B121" s="58"/>
      <c r="D121" s="50"/>
      <c r="E121" s="50"/>
    </row>
    <row r="122" spans="2:5" s="48" customFormat="1" ht="24">
      <c r="B122" s="58"/>
      <c r="D122" s="50"/>
      <c r="E122" s="50"/>
    </row>
    <row r="123" spans="2:5" s="48" customFormat="1" ht="24">
      <c r="B123" s="58"/>
      <c r="D123" s="50"/>
      <c r="E123" s="50"/>
    </row>
    <row r="124" spans="2:5" s="48" customFormat="1" ht="24">
      <c r="B124" s="58"/>
      <c r="D124" s="50"/>
      <c r="E124" s="50"/>
    </row>
    <row r="125" spans="2:5" s="48" customFormat="1" ht="24">
      <c r="B125" s="58"/>
      <c r="D125" s="50"/>
      <c r="E125" s="50"/>
    </row>
    <row r="126" spans="2:5" s="48" customFormat="1" ht="24">
      <c r="B126" s="58"/>
      <c r="D126" s="50"/>
      <c r="E126" s="50"/>
    </row>
    <row r="127" spans="2:5" s="48" customFormat="1" ht="24">
      <c r="B127" s="58"/>
      <c r="D127" s="50"/>
      <c r="E127" s="50"/>
    </row>
    <row r="128" spans="2:5" s="48" customFormat="1" ht="24">
      <c r="B128" s="58"/>
      <c r="D128" s="50"/>
      <c r="E128" s="50"/>
    </row>
    <row r="129" spans="2:5" s="48" customFormat="1" ht="24">
      <c r="B129" s="58"/>
      <c r="D129" s="50"/>
      <c r="E129" s="50"/>
    </row>
    <row r="130" spans="2:5" s="48" customFormat="1" ht="24">
      <c r="B130" s="58"/>
      <c r="D130" s="50"/>
      <c r="E130" s="50"/>
    </row>
    <row r="131" spans="2:5" s="48" customFormat="1" ht="24">
      <c r="B131" s="58"/>
      <c r="D131" s="50"/>
      <c r="E131" s="50"/>
    </row>
    <row r="132" spans="2:5" s="48" customFormat="1" ht="24">
      <c r="B132" s="58"/>
      <c r="D132" s="50"/>
      <c r="E132" s="50"/>
    </row>
    <row r="133" spans="2:5" s="48" customFormat="1" ht="24">
      <c r="B133" s="58"/>
      <c r="D133" s="50"/>
      <c r="E133" s="50"/>
    </row>
    <row r="134" spans="2:5" s="48" customFormat="1" ht="24">
      <c r="B134" s="58"/>
      <c r="D134" s="50"/>
      <c r="E134" s="50"/>
    </row>
    <row r="135" spans="2:5" s="48" customFormat="1" ht="24">
      <c r="B135" s="58"/>
      <c r="D135" s="50"/>
      <c r="E135" s="50"/>
    </row>
    <row r="136" spans="2:5" s="48" customFormat="1" ht="24">
      <c r="B136" s="58"/>
      <c r="D136" s="50"/>
      <c r="E136" s="50"/>
    </row>
    <row r="137" spans="1:5" ht="24">
      <c r="A137" s="6" t="s">
        <v>49</v>
      </c>
      <c r="B137" s="7"/>
      <c r="C137" s="6"/>
      <c r="D137" s="6"/>
      <c r="E137" s="7"/>
    </row>
    <row r="138" spans="1:5" ht="24">
      <c r="A138" s="6" t="s">
        <v>0</v>
      </c>
      <c r="B138" s="7"/>
      <c r="C138" s="6"/>
      <c r="D138" s="8"/>
      <c r="E138" s="9" t="s">
        <v>73</v>
      </c>
    </row>
    <row r="139" spans="1:5" ht="25.5" customHeight="1">
      <c r="A139" s="124" t="s">
        <v>1</v>
      </c>
      <c r="B139" s="124"/>
      <c r="C139" s="124"/>
      <c r="D139" s="124"/>
      <c r="E139" s="124"/>
    </row>
    <row r="140" spans="1:5" ht="21.75" customHeight="1">
      <c r="A140" s="2"/>
      <c r="B140" s="3"/>
      <c r="C140" s="2"/>
      <c r="D140" s="10"/>
      <c r="E140" s="5" t="s">
        <v>75</v>
      </c>
    </row>
    <row r="141" spans="1:5" s="13" customFormat="1" ht="22.5" customHeight="1">
      <c r="A141" s="125" t="s">
        <v>2</v>
      </c>
      <c r="B141" s="127"/>
      <c r="C141" s="11"/>
      <c r="D141" s="128" t="s">
        <v>3</v>
      </c>
      <c r="E141" s="12" t="s">
        <v>4</v>
      </c>
    </row>
    <row r="142" spans="1:5" s="13" customFormat="1" ht="22.5" customHeight="1">
      <c r="A142" s="14" t="s">
        <v>5</v>
      </c>
      <c r="B142" s="15" t="s">
        <v>6</v>
      </c>
      <c r="C142" s="16" t="s">
        <v>7</v>
      </c>
      <c r="D142" s="129"/>
      <c r="E142" s="17" t="s">
        <v>6</v>
      </c>
    </row>
    <row r="143" spans="1:5" s="13" customFormat="1" ht="22.5" customHeight="1">
      <c r="A143" s="18" t="s">
        <v>8</v>
      </c>
      <c r="B143" s="19" t="s">
        <v>8</v>
      </c>
      <c r="C143" s="20"/>
      <c r="D143" s="130"/>
      <c r="E143" s="21" t="s">
        <v>8</v>
      </c>
    </row>
    <row r="144" spans="1:5" s="13" customFormat="1" ht="22.5" customHeight="1">
      <c r="A144" s="22"/>
      <c r="B144" s="23">
        <v>21446260.59</v>
      </c>
      <c r="C144" s="24" t="s">
        <v>9</v>
      </c>
      <c r="D144" s="22"/>
      <c r="E144" s="23">
        <v>19550055.19</v>
      </c>
    </row>
    <row r="145" spans="1:5" s="13" customFormat="1" ht="22.5" customHeight="1">
      <c r="A145" s="25"/>
      <c r="B145" s="25"/>
      <c r="C145" s="24" t="s">
        <v>55</v>
      </c>
      <c r="D145" s="22"/>
      <c r="E145" s="25"/>
    </row>
    <row r="146" spans="1:5" s="13" customFormat="1" ht="22.5" customHeight="1">
      <c r="A146" s="25">
        <v>392000</v>
      </c>
      <c r="B146" s="25">
        <v>532.59</v>
      </c>
      <c r="C146" s="24" t="s">
        <v>10</v>
      </c>
      <c r="D146" s="26" t="s">
        <v>11</v>
      </c>
      <c r="E146" s="25">
        <v>416</v>
      </c>
    </row>
    <row r="147" spans="1:5" s="13" customFormat="1" ht="22.5" customHeight="1">
      <c r="A147" s="25">
        <v>181000</v>
      </c>
      <c r="B147" s="27">
        <v>63696.95</v>
      </c>
      <c r="C147" s="24" t="s">
        <v>12</v>
      </c>
      <c r="D147" s="26" t="s">
        <v>13</v>
      </c>
      <c r="E147" s="27">
        <v>24573</v>
      </c>
    </row>
    <row r="148" spans="1:5" s="13" customFormat="1" ht="22.5" customHeight="1">
      <c r="A148" s="25">
        <v>120000</v>
      </c>
      <c r="B148" s="25">
        <v>64479.67</v>
      </c>
      <c r="C148" s="24" t="s">
        <v>14</v>
      </c>
      <c r="D148" s="26" t="s">
        <v>15</v>
      </c>
      <c r="E148" s="25">
        <v>15572.84</v>
      </c>
    </row>
    <row r="149" spans="1:5" s="13" customFormat="1" ht="22.5" customHeight="1">
      <c r="A149" s="25">
        <v>1100000</v>
      </c>
      <c r="B149" s="25">
        <v>200630</v>
      </c>
      <c r="C149" s="24" t="s">
        <v>16</v>
      </c>
      <c r="D149" s="26" t="s">
        <v>17</v>
      </c>
      <c r="E149" s="25">
        <v>117590</v>
      </c>
    </row>
    <row r="150" spans="1:5" s="13" customFormat="1" ht="22.5" customHeight="1">
      <c r="A150" s="25">
        <v>45000</v>
      </c>
      <c r="B150" s="27">
        <v>510</v>
      </c>
      <c r="C150" s="24" t="s">
        <v>18</v>
      </c>
      <c r="D150" s="26" t="s">
        <v>19</v>
      </c>
      <c r="E150" s="27">
        <v>10</v>
      </c>
    </row>
    <row r="151" spans="1:5" s="13" customFormat="1" ht="22.5" customHeight="1">
      <c r="A151" s="27">
        <v>12627500</v>
      </c>
      <c r="B151" s="25">
        <v>1772661.35</v>
      </c>
      <c r="C151" s="24" t="s">
        <v>20</v>
      </c>
      <c r="D151" s="26" t="s">
        <v>21</v>
      </c>
      <c r="E151" s="25">
        <v>1463430.04</v>
      </c>
    </row>
    <row r="152" spans="1:5" s="13" customFormat="1" ht="22.5" customHeight="1">
      <c r="A152" s="27">
        <v>3203200</v>
      </c>
      <c r="B152" s="25">
        <v>1384763</v>
      </c>
      <c r="C152" s="24" t="s">
        <v>22</v>
      </c>
      <c r="D152" s="26" t="s">
        <v>23</v>
      </c>
      <c r="E152" s="25">
        <v>1384763</v>
      </c>
    </row>
    <row r="153" spans="1:5" s="13" customFormat="1" ht="22.5" customHeight="1" thickBot="1">
      <c r="A153" s="28">
        <f>SUM(A145:A152)</f>
        <v>17668700</v>
      </c>
      <c r="B153" s="28">
        <f>SUM(B146:B152)</f>
        <v>3487273.56</v>
      </c>
      <c r="C153" s="24"/>
      <c r="D153" s="26"/>
      <c r="E153" s="28">
        <f>SUM(E146:E152)</f>
        <v>3006354.88</v>
      </c>
    </row>
    <row r="154" spans="1:5" s="13" customFormat="1" ht="22.5" customHeight="1" thickTop="1">
      <c r="A154" s="29"/>
      <c r="B154" s="25">
        <f>1052540.01+93810.87</f>
        <v>1146350.88</v>
      </c>
      <c r="C154" s="24" t="s">
        <v>50</v>
      </c>
      <c r="D154" s="26" t="s">
        <v>51</v>
      </c>
      <c r="E154" s="25">
        <v>93810.87</v>
      </c>
    </row>
    <row r="155" spans="1:5" s="13" customFormat="1" ht="22.5" customHeight="1">
      <c r="A155" s="29"/>
      <c r="B155" s="25">
        <f>2139600</f>
        <v>2139600</v>
      </c>
      <c r="C155" s="24" t="s">
        <v>22</v>
      </c>
      <c r="D155" s="26" t="s">
        <v>68</v>
      </c>
      <c r="E155" s="25">
        <v>2139600</v>
      </c>
    </row>
    <row r="156" spans="1:5" s="13" customFormat="1" ht="22.5" customHeight="1">
      <c r="A156" s="29"/>
      <c r="B156" s="25">
        <f>21648</f>
        <v>21648</v>
      </c>
      <c r="C156" s="24" t="s">
        <v>70</v>
      </c>
      <c r="D156" s="26" t="s">
        <v>72</v>
      </c>
      <c r="E156" s="25">
        <v>21648</v>
      </c>
    </row>
    <row r="157" spans="1:5" s="13" customFormat="1" ht="22.5" customHeight="1">
      <c r="A157" s="29"/>
      <c r="B157" s="25">
        <f>1400</f>
        <v>1400</v>
      </c>
      <c r="C157" s="24" t="s">
        <v>76</v>
      </c>
      <c r="D157" s="16"/>
      <c r="E157" s="25">
        <v>1400</v>
      </c>
    </row>
    <row r="158" spans="1:5" s="13" customFormat="1" ht="22.5" customHeight="1">
      <c r="A158" s="29"/>
      <c r="B158" s="25"/>
      <c r="C158" s="24"/>
      <c r="D158" s="26"/>
      <c r="E158" s="30"/>
    </row>
    <row r="159" spans="1:5" s="13" customFormat="1" ht="22.5" customHeight="1" thickBot="1">
      <c r="A159" s="29"/>
      <c r="B159" s="28">
        <f>SUM(B154:B158)</f>
        <v>3308998.88</v>
      </c>
      <c r="C159" s="31"/>
      <c r="D159" s="22"/>
      <c r="E159" s="28">
        <f>SUM(E154:E158)</f>
        <v>2256458.87</v>
      </c>
    </row>
    <row r="160" spans="1:5" s="13" customFormat="1" ht="22.5" customHeight="1" thickBot="1" thickTop="1">
      <c r="A160" s="29"/>
      <c r="B160" s="32">
        <f>(B153+B159)</f>
        <v>6796272.4399999995</v>
      </c>
      <c r="C160" s="33" t="s">
        <v>24</v>
      </c>
      <c r="D160" s="22"/>
      <c r="E160" s="32">
        <f>(E153+E159)</f>
        <v>5262813.75</v>
      </c>
    </row>
    <row r="161" spans="1:5" s="13" customFormat="1" ht="22.5" thickTop="1">
      <c r="A161" s="29"/>
      <c r="B161" s="34"/>
      <c r="C161" s="33"/>
      <c r="D161" s="31"/>
      <c r="E161" s="34"/>
    </row>
    <row r="162" spans="1:5" s="13" customFormat="1" ht="21.75">
      <c r="A162" s="29"/>
      <c r="B162" s="34"/>
      <c r="C162" s="33"/>
      <c r="D162" s="31"/>
      <c r="E162" s="34"/>
    </row>
    <row r="163" spans="1:5" s="13" customFormat="1" ht="21.75">
      <c r="A163" s="29"/>
      <c r="B163" s="34"/>
      <c r="C163" s="33"/>
      <c r="D163" s="31"/>
      <c r="E163" s="34"/>
    </row>
    <row r="164" spans="1:5" s="13" customFormat="1" ht="21.75">
      <c r="A164" s="29"/>
      <c r="B164" s="34"/>
      <c r="C164" s="33"/>
      <c r="D164" s="31"/>
      <c r="E164" s="34"/>
    </row>
    <row r="165" spans="1:5" s="13" customFormat="1" ht="21.75">
      <c r="A165" s="29"/>
      <c r="B165" s="34"/>
      <c r="C165" s="33"/>
      <c r="D165" s="31"/>
      <c r="E165" s="34"/>
    </row>
    <row r="166" spans="1:5" s="13" customFormat="1" ht="21.75">
      <c r="A166" s="29"/>
      <c r="B166" s="34"/>
      <c r="C166" s="33"/>
      <c r="D166" s="31"/>
      <c r="E166" s="34"/>
    </row>
    <row r="167" spans="1:5" s="13" customFormat="1" ht="21.75">
      <c r="A167" s="29"/>
      <c r="B167" s="34"/>
      <c r="C167" s="33"/>
      <c r="D167" s="31"/>
      <c r="E167" s="34"/>
    </row>
    <row r="168" spans="1:5" s="13" customFormat="1" ht="21.75">
      <c r="A168" s="29"/>
      <c r="B168" s="34"/>
      <c r="C168" s="33"/>
      <c r="D168" s="31"/>
      <c r="E168" s="34"/>
    </row>
    <row r="169" spans="1:5" s="13" customFormat="1" ht="21.75">
      <c r="A169" s="29"/>
      <c r="B169" s="34"/>
      <c r="C169" s="33"/>
      <c r="D169" s="31"/>
      <c r="E169" s="34"/>
    </row>
    <row r="170" spans="1:5" s="13" customFormat="1" ht="21.75">
      <c r="A170" s="29"/>
      <c r="B170" s="34"/>
      <c r="C170" s="33"/>
      <c r="D170" s="31"/>
      <c r="E170" s="34"/>
    </row>
    <row r="171" spans="1:5" s="13" customFormat="1" ht="23.25" customHeight="1">
      <c r="A171" s="29"/>
      <c r="B171" s="34"/>
      <c r="C171" s="126" t="s">
        <v>75</v>
      </c>
      <c r="D171" s="126"/>
      <c r="E171" s="126"/>
    </row>
    <row r="172" spans="1:5" s="13" customFormat="1" ht="20.25" customHeight="1">
      <c r="A172" s="125" t="s">
        <v>2</v>
      </c>
      <c r="B172" s="127"/>
      <c r="C172" s="35"/>
      <c r="D172" s="128" t="s">
        <v>3</v>
      </c>
      <c r="E172" s="12" t="s">
        <v>4</v>
      </c>
    </row>
    <row r="173" spans="1:5" s="13" customFormat="1" ht="23.25" customHeight="1">
      <c r="A173" s="36" t="s">
        <v>5</v>
      </c>
      <c r="B173" s="17" t="s">
        <v>6</v>
      </c>
      <c r="C173" s="37" t="s">
        <v>7</v>
      </c>
      <c r="D173" s="129"/>
      <c r="E173" s="27" t="s">
        <v>6</v>
      </c>
    </row>
    <row r="174" spans="1:5" s="13" customFormat="1" ht="18" customHeight="1">
      <c r="A174" s="38" t="s">
        <v>8</v>
      </c>
      <c r="B174" s="21" t="s">
        <v>8</v>
      </c>
      <c r="C174" s="39"/>
      <c r="D174" s="130"/>
      <c r="E174" s="21" t="s">
        <v>8</v>
      </c>
    </row>
    <row r="175" spans="1:5" s="13" customFormat="1" ht="18.75" customHeight="1">
      <c r="A175" s="22"/>
      <c r="B175" s="25"/>
      <c r="C175" s="24" t="s">
        <v>56</v>
      </c>
      <c r="D175" s="22"/>
      <c r="E175" s="25"/>
    </row>
    <row r="176" spans="1:5" s="13" customFormat="1" ht="19.5" customHeight="1">
      <c r="A176" s="25">
        <v>1809655</v>
      </c>
      <c r="B176" s="25">
        <f>11501+156167</f>
        <v>167668</v>
      </c>
      <c r="C176" s="24" t="s">
        <v>25</v>
      </c>
      <c r="D176" s="26" t="s">
        <v>26</v>
      </c>
      <c r="E176" s="25">
        <v>156167</v>
      </c>
    </row>
    <row r="177" spans="1:5" s="13" customFormat="1" ht="21.75">
      <c r="A177" s="25">
        <v>4379320</v>
      </c>
      <c r="B177" s="25">
        <f>306840+313740</f>
        <v>620580</v>
      </c>
      <c r="C177" s="24" t="s">
        <v>27</v>
      </c>
      <c r="D177" s="26" t="s">
        <v>28</v>
      </c>
      <c r="E177" s="25">
        <v>313740</v>
      </c>
    </row>
    <row r="178" spans="1:5" s="13" customFormat="1" ht="21.75">
      <c r="A178" s="25">
        <v>150000</v>
      </c>
      <c r="B178" s="25">
        <f>12285+12285</f>
        <v>24570</v>
      </c>
      <c r="C178" s="24" t="s">
        <v>29</v>
      </c>
      <c r="D178" s="26" t="s">
        <v>30</v>
      </c>
      <c r="E178" s="25">
        <v>12285</v>
      </c>
    </row>
    <row r="179" spans="1:5" s="13" customFormat="1" ht="21.75">
      <c r="A179" s="25">
        <v>1509080</v>
      </c>
      <c r="B179" s="25">
        <f>123900+123900</f>
        <v>247800</v>
      </c>
      <c r="C179" s="24" t="s">
        <v>31</v>
      </c>
      <c r="D179" s="26" t="s">
        <v>32</v>
      </c>
      <c r="E179" s="25">
        <v>123900</v>
      </c>
    </row>
    <row r="180" spans="1:5" s="13" customFormat="1" ht="21.75">
      <c r="A180" s="25">
        <v>1130000</v>
      </c>
      <c r="B180" s="25">
        <f>1600+7054</f>
        <v>8654</v>
      </c>
      <c r="C180" s="24" t="s">
        <v>33</v>
      </c>
      <c r="D180" s="26" t="s">
        <v>34</v>
      </c>
      <c r="E180" s="25">
        <v>7054</v>
      </c>
    </row>
    <row r="181" spans="1:5" s="13" customFormat="1" ht="21.75">
      <c r="A181" s="25">
        <v>3265000</v>
      </c>
      <c r="B181" s="25">
        <f>14460+62476.31</f>
        <v>76936.31</v>
      </c>
      <c r="C181" s="24" t="s">
        <v>35</v>
      </c>
      <c r="D181" s="26" t="s">
        <v>36</v>
      </c>
      <c r="E181" s="25">
        <v>62476.31</v>
      </c>
    </row>
    <row r="182" spans="1:5" s="13" customFormat="1" ht="21.75">
      <c r="A182" s="25">
        <v>1659500</v>
      </c>
      <c r="B182" s="25">
        <f>97694.78</f>
        <v>97694.78</v>
      </c>
      <c r="C182" s="24" t="s">
        <v>37</v>
      </c>
      <c r="D182" s="26" t="s">
        <v>62</v>
      </c>
      <c r="E182" s="25">
        <v>97694.78</v>
      </c>
    </row>
    <row r="183" spans="1:5" s="13" customFormat="1" ht="21.75">
      <c r="A183" s="25">
        <v>970000</v>
      </c>
      <c r="B183" s="25">
        <f>91067.24+90703.95</f>
        <v>181771.19</v>
      </c>
      <c r="C183" s="24" t="s">
        <v>38</v>
      </c>
      <c r="D183" s="26" t="s">
        <v>39</v>
      </c>
      <c r="E183" s="25">
        <v>90703.95</v>
      </c>
    </row>
    <row r="184" spans="1:5" s="13" customFormat="1" ht="21.75">
      <c r="A184" s="25">
        <v>685000</v>
      </c>
      <c r="B184" s="25">
        <v>0</v>
      </c>
      <c r="C184" s="24" t="s">
        <v>40</v>
      </c>
      <c r="D184" s="26" t="s">
        <v>63</v>
      </c>
      <c r="E184" s="25">
        <v>0</v>
      </c>
    </row>
    <row r="185" spans="1:5" s="13" customFormat="1" ht="21.75">
      <c r="A185" s="25">
        <v>143700</v>
      </c>
      <c r="B185" s="40">
        <v>0</v>
      </c>
      <c r="C185" s="24" t="s">
        <v>41</v>
      </c>
      <c r="D185" s="26" t="s">
        <v>64</v>
      </c>
      <c r="E185" s="40">
        <v>0</v>
      </c>
    </row>
    <row r="186" spans="1:5" s="13" customFormat="1" ht="21.75">
      <c r="A186" s="25">
        <v>1985000</v>
      </c>
      <c r="B186" s="27">
        <v>0</v>
      </c>
      <c r="C186" s="24" t="s">
        <v>42</v>
      </c>
      <c r="D186" s="26" t="s">
        <v>65</v>
      </c>
      <c r="E186" s="27">
        <v>0</v>
      </c>
    </row>
    <row r="187" spans="1:5" s="13" customFormat="1" ht="21.75">
      <c r="A187" s="25">
        <v>20000</v>
      </c>
      <c r="B187" s="27">
        <v>0</v>
      </c>
      <c r="C187" s="24" t="s">
        <v>52</v>
      </c>
      <c r="D187" s="26" t="s">
        <v>66</v>
      </c>
      <c r="E187" s="27">
        <v>0</v>
      </c>
    </row>
    <row r="188" spans="1:5" s="13" customFormat="1" ht="22.5" thickBot="1">
      <c r="A188" s="28">
        <f>SUM(A176:A187)</f>
        <v>17706255</v>
      </c>
      <c r="B188" s="28">
        <f>SUM(B176:B187)</f>
        <v>1425674.28</v>
      </c>
      <c r="C188" s="24"/>
      <c r="D188" s="26"/>
      <c r="E188" s="28">
        <f>SUM(E176:E187)</f>
        <v>864021.04</v>
      </c>
    </row>
    <row r="189" spans="1:5" s="13" customFormat="1" ht="22.5" thickTop="1">
      <c r="A189" s="31"/>
      <c r="B189" s="25">
        <f>1100258.85+99606.44</f>
        <v>1199865.29</v>
      </c>
      <c r="C189" s="24" t="s">
        <v>53</v>
      </c>
      <c r="D189" s="16">
        <v>900</v>
      </c>
      <c r="E189" s="25">
        <v>99606.44</v>
      </c>
    </row>
    <row r="190" spans="1:5" s="13" customFormat="1" ht="21.75">
      <c r="A190" s="31"/>
      <c r="B190" s="25">
        <f>356600+355200</f>
        <v>711800</v>
      </c>
      <c r="C190" s="24" t="s">
        <v>74</v>
      </c>
      <c r="D190" s="26"/>
      <c r="E190" s="25">
        <v>355200</v>
      </c>
    </row>
    <row r="191" spans="1:5" s="13" customFormat="1" ht="21.75">
      <c r="A191" s="31"/>
      <c r="B191" s="25">
        <f>748900</f>
        <v>748900</v>
      </c>
      <c r="C191" s="24" t="s">
        <v>71</v>
      </c>
      <c r="D191" s="26"/>
      <c r="E191" s="25">
        <v>0</v>
      </c>
    </row>
    <row r="192" spans="1:5" s="13" customFormat="1" ht="21.75">
      <c r="A192" s="31"/>
      <c r="B192" s="25">
        <f>662252</f>
        <v>662252</v>
      </c>
      <c r="C192" s="24" t="s">
        <v>43</v>
      </c>
      <c r="D192" s="16"/>
      <c r="E192" s="25">
        <v>0</v>
      </c>
    </row>
    <row r="193" spans="1:5" s="13" customFormat="1" ht="21.75">
      <c r="A193" s="31"/>
      <c r="B193" s="25"/>
      <c r="C193" s="24"/>
      <c r="D193" s="16"/>
      <c r="E193" s="25"/>
    </row>
    <row r="194" spans="1:5" s="13" customFormat="1" ht="21.75">
      <c r="A194" s="31"/>
      <c r="B194" s="25"/>
      <c r="C194" s="24"/>
      <c r="D194" s="26"/>
      <c r="E194" s="25"/>
    </row>
    <row r="195" spans="1:5" s="13" customFormat="1" ht="17.25" customHeight="1">
      <c r="A195" s="31"/>
      <c r="B195" s="41">
        <f>SUM(B189:B194)</f>
        <v>3322817.29</v>
      </c>
      <c r="C195" s="42"/>
      <c r="D195" s="31"/>
      <c r="E195" s="43">
        <f>SUM(E189:E194)</f>
        <v>454806.44</v>
      </c>
    </row>
    <row r="196" spans="1:5" s="13" customFormat="1" ht="22.5" thickBot="1">
      <c r="A196" s="44"/>
      <c r="B196" s="28">
        <f>B188+B195</f>
        <v>4748491.57</v>
      </c>
      <c r="C196" s="120" t="s">
        <v>45</v>
      </c>
      <c r="D196" s="121"/>
      <c r="E196" s="28">
        <f>E188+E195</f>
        <v>1318827.48</v>
      </c>
    </row>
    <row r="197" spans="1:5" s="13" customFormat="1" ht="21.75" customHeight="1" thickBot="1" thickTop="1">
      <c r="A197" s="24"/>
      <c r="B197" s="28">
        <f>(B160-B196)</f>
        <v>2047780.8699999992</v>
      </c>
      <c r="C197" s="120" t="s">
        <v>67</v>
      </c>
      <c r="D197" s="121"/>
      <c r="E197" s="28">
        <f>E160-E196</f>
        <v>3943986.27</v>
      </c>
    </row>
    <row r="198" spans="1:5" s="13" customFormat="1" ht="19.5" customHeight="1" thickBot="1" thickTop="1">
      <c r="A198" s="24"/>
      <c r="B198" s="28">
        <f>(B144+B160-B196)</f>
        <v>23494041.46</v>
      </c>
      <c r="C198" s="120" t="s">
        <v>46</v>
      </c>
      <c r="D198" s="121"/>
      <c r="E198" s="28">
        <f>(E144+E160-E196)</f>
        <v>23494041.46</v>
      </c>
    </row>
    <row r="199" spans="1:5" s="13" customFormat="1" ht="19.5" customHeight="1" thickTop="1">
      <c r="A199" s="24"/>
      <c r="B199" s="34"/>
      <c r="C199" s="37"/>
      <c r="D199" s="37"/>
      <c r="E199" s="34"/>
    </row>
    <row r="200" spans="1:5" s="13" customFormat="1" ht="18" customHeight="1">
      <c r="A200" s="24"/>
      <c r="B200" s="34"/>
      <c r="C200" s="37"/>
      <c r="D200" s="37"/>
      <c r="E200" s="34"/>
    </row>
    <row r="201" spans="1:5" s="13" customFormat="1" ht="19.5" customHeight="1">
      <c r="A201" s="24" t="s">
        <v>60</v>
      </c>
      <c r="B201" s="34"/>
      <c r="C201" s="47" t="s">
        <v>61</v>
      </c>
      <c r="D201" s="123" t="s">
        <v>57</v>
      </c>
      <c r="E201" s="123"/>
    </row>
    <row r="202" spans="1:5" s="13" customFormat="1" ht="30" customHeight="1">
      <c r="A202" s="24"/>
      <c r="B202" s="45"/>
      <c r="C202" s="24"/>
      <c r="D202" s="24"/>
      <c r="E202" s="45"/>
    </row>
    <row r="203" spans="1:5" s="13" customFormat="1" ht="21.75">
      <c r="A203" s="24" t="s">
        <v>47</v>
      </c>
      <c r="B203" s="24"/>
      <c r="C203" s="46" t="s">
        <v>69</v>
      </c>
      <c r="D203" s="122" t="s">
        <v>54</v>
      </c>
      <c r="E203" s="122"/>
    </row>
    <row r="204" spans="1:5" s="13" customFormat="1" ht="21.75">
      <c r="A204" s="24" t="s">
        <v>48</v>
      </c>
      <c r="B204" s="24"/>
      <c r="C204" s="46" t="s">
        <v>58</v>
      </c>
      <c r="D204" s="122" t="s">
        <v>59</v>
      </c>
      <c r="E204" s="122"/>
    </row>
    <row r="205" spans="1:5" ht="23.25">
      <c r="A205" s="1"/>
      <c r="B205" s="4"/>
      <c r="C205" s="1"/>
      <c r="D205" s="46"/>
      <c r="E205" s="46"/>
    </row>
  </sheetData>
  <sheetProtection/>
  <mergeCells count="24">
    <mergeCell ref="C74:D74"/>
    <mergeCell ref="C75:D75"/>
    <mergeCell ref="A3:E3"/>
    <mergeCell ref="A5:B5"/>
    <mergeCell ref="D5:D7"/>
    <mergeCell ref="A42:B42"/>
    <mergeCell ref="D42:D44"/>
    <mergeCell ref="C73:D73"/>
    <mergeCell ref="D77:E77"/>
    <mergeCell ref="D79:E79"/>
    <mergeCell ref="D80:E80"/>
    <mergeCell ref="D81:E81"/>
    <mergeCell ref="D141:D143"/>
    <mergeCell ref="D201:E201"/>
    <mergeCell ref="A139:E139"/>
    <mergeCell ref="A141:B141"/>
    <mergeCell ref="D203:E203"/>
    <mergeCell ref="D204:E204"/>
    <mergeCell ref="C171:E171"/>
    <mergeCell ref="A172:B172"/>
    <mergeCell ref="D172:D174"/>
    <mergeCell ref="C196:D196"/>
    <mergeCell ref="C197:D197"/>
    <mergeCell ref="C198:D198"/>
  </mergeCells>
  <printOptions/>
  <pageMargins left="0.78740157480315" right="0.21" top="0.26" bottom="0.22" header="0.16" footer="0.1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PC</cp:lastModifiedBy>
  <cp:lastPrinted>2014-12-17T04:43:35Z</cp:lastPrinted>
  <dcterms:created xsi:type="dcterms:W3CDTF">2008-05-16T03:29:42Z</dcterms:created>
  <dcterms:modified xsi:type="dcterms:W3CDTF">2014-12-29T09:27:37Z</dcterms:modified>
  <cp:category/>
  <cp:version/>
  <cp:contentType/>
  <cp:contentStatus/>
</cp:coreProperties>
</file>