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60" yWindow="3000" windowWidth="12150" windowHeight="7065"/>
  </bookViews>
  <sheets>
    <sheet name="งบแสดงฐานะการเงิน" sheetId="1" r:id="rId1"/>
    <sheet name="หมายเหตุ" sheetId="2" r:id="rId2"/>
    <sheet name="ค้างจ่าย" sheetId="3" r:id="rId3"/>
    <sheet name="เงินรับฝาก" sheetId="4" r:id="rId4"/>
    <sheet name="เงินสะสม" sheetId="5" r:id="rId5"/>
    <sheet name="9" sheetId="10" r:id="rId6"/>
    <sheet name="งบทรัพย์สิน" sheetId="6" r:id="rId7"/>
    <sheet name="กระดาษทำการงบทรัพย์สิน" sheetId="17" r:id="rId8"/>
    <sheet name="งบทดลอง" sheetId="8" r:id="rId9"/>
    <sheet name="งบหลังปิด" sheetId="9" r:id="rId10"/>
    <sheet name="รายรับจริง" sheetId="12" r:id="rId11"/>
    <sheet name="รายงานการรับจ่ายเงิน" sheetId="14" r:id="rId12"/>
    <sheet name="Sheet3" sheetId="15" r:id="rId13"/>
  </sheets>
  <calcPr calcId="145621"/>
</workbook>
</file>

<file path=xl/calcChain.xml><?xml version="1.0" encoding="utf-8"?>
<calcChain xmlns="http://schemas.openxmlformats.org/spreadsheetml/2006/main">
  <c r="K10" i="17" l="1"/>
  <c r="K14" i="17"/>
  <c r="I32" i="17"/>
  <c r="F18" i="17"/>
  <c r="F19" i="17"/>
  <c r="F22" i="17"/>
  <c r="F23" i="17"/>
  <c r="F26" i="17"/>
  <c r="F27" i="17"/>
  <c r="F29" i="17"/>
  <c r="F30" i="17"/>
  <c r="D32" i="17"/>
  <c r="C31" i="17"/>
  <c r="F31" i="17" s="1"/>
  <c r="C28" i="17"/>
  <c r="F28" i="17" s="1"/>
  <c r="C27" i="17"/>
  <c r="C26" i="17"/>
  <c r="C25" i="17"/>
  <c r="F25" i="17" s="1"/>
  <c r="C24" i="17"/>
  <c r="F24" i="17" s="1"/>
  <c r="C23" i="17"/>
  <c r="C22" i="17"/>
  <c r="C21" i="17"/>
  <c r="F21" i="17" s="1"/>
  <c r="C20" i="17"/>
  <c r="F20" i="17" s="1"/>
  <c r="C19" i="17"/>
  <c r="C18" i="17"/>
  <c r="C17" i="17"/>
  <c r="C32" i="17" s="1"/>
  <c r="H15" i="17"/>
  <c r="K15" i="17" s="1"/>
  <c r="H14" i="17"/>
  <c r="H13" i="17"/>
  <c r="K13" i="17" s="1"/>
  <c r="H12" i="17"/>
  <c r="K12" i="17" s="1"/>
  <c r="H11" i="17"/>
  <c r="K11" i="17" s="1"/>
  <c r="H10" i="17"/>
  <c r="H9" i="17"/>
  <c r="K9" i="17" s="1"/>
  <c r="H8" i="17"/>
  <c r="K8" i="17" s="1"/>
  <c r="H7" i="17"/>
  <c r="K7" i="17" s="1"/>
  <c r="E28" i="12"/>
  <c r="E16" i="12"/>
  <c r="F17" i="17" l="1"/>
  <c r="F32" i="17" s="1"/>
  <c r="K32" i="17"/>
  <c r="H32" i="17"/>
  <c r="G10" i="10"/>
  <c r="F10" i="10"/>
  <c r="E10" i="10"/>
  <c r="D10" i="10"/>
  <c r="G9" i="10"/>
  <c r="G8" i="10"/>
  <c r="H15" i="1" l="1"/>
  <c r="F36" i="6" l="1"/>
  <c r="F14" i="6"/>
  <c r="G39" i="15"/>
  <c r="E39" i="15"/>
  <c r="D39" i="15"/>
  <c r="F19" i="6"/>
  <c r="F18" i="6"/>
  <c r="F17" i="6"/>
  <c r="F16" i="6"/>
  <c r="F15" i="6"/>
  <c r="F13" i="6"/>
  <c r="F12" i="6"/>
  <c r="F11" i="6"/>
  <c r="C36" i="6"/>
  <c r="C26" i="6"/>
  <c r="C34" i="6"/>
  <c r="C33" i="6"/>
  <c r="C27" i="6"/>
  <c r="C30" i="6"/>
  <c r="C24" i="6"/>
  <c r="C25" i="6"/>
  <c r="C31" i="6"/>
  <c r="C29" i="6"/>
  <c r="C23" i="6"/>
  <c r="C35" i="6"/>
  <c r="C32" i="6"/>
  <c r="C28" i="6"/>
  <c r="C22" i="6"/>
  <c r="C21" i="6"/>
  <c r="E88" i="14" l="1"/>
  <c r="C88" i="14"/>
  <c r="D87" i="14"/>
  <c r="D85" i="14"/>
  <c r="D84" i="14"/>
  <c r="D83" i="14"/>
  <c r="D82" i="14"/>
  <c r="D81" i="14"/>
  <c r="D80" i="14"/>
  <c r="D79" i="14"/>
  <c r="D78" i="14"/>
  <c r="D77" i="14"/>
  <c r="D70" i="14"/>
  <c r="D73" i="14" s="1"/>
  <c r="C70" i="14"/>
  <c r="C73" i="14" s="1"/>
  <c r="E69" i="14"/>
  <c r="E68" i="14"/>
  <c r="D65" i="14"/>
  <c r="D72" i="14" s="1"/>
  <c r="C65" i="14"/>
  <c r="C72" i="14" s="1"/>
  <c r="E64" i="14"/>
  <c r="E65" i="14" s="1"/>
  <c r="E72" i="14" s="1"/>
  <c r="E63" i="14"/>
  <c r="D60" i="14"/>
  <c r="C60" i="14"/>
  <c r="E57" i="14"/>
  <c r="E55" i="14"/>
  <c r="E53" i="14"/>
  <c r="E51" i="14"/>
  <c r="E50" i="14"/>
  <c r="E49" i="14"/>
  <c r="E48" i="14"/>
  <c r="E45" i="14"/>
  <c r="D45" i="14"/>
  <c r="C45" i="14"/>
  <c r="D42" i="14"/>
  <c r="C42" i="14"/>
  <c r="E41" i="14"/>
  <c r="E40" i="14"/>
  <c r="D37" i="14"/>
  <c r="C37" i="14"/>
  <c r="E35" i="14"/>
  <c r="E37" i="14" s="1"/>
  <c r="D33" i="14"/>
  <c r="C33" i="14"/>
  <c r="E31" i="14"/>
  <c r="E33" i="14" s="1"/>
  <c r="C29" i="14"/>
  <c r="E27" i="14"/>
  <c r="E25" i="14"/>
  <c r="E24" i="14"/>
  <c r="E21" i="14"/>
  <c r="E20" i="14"/>
  <c r="E19" i="14"/>
  <c r="E18" i="14"/>
  <c r="D16" i="14"/>
  <c r="E16" i="14" s="1"/>
  <c r="E15" i="14"/>
  <c r="E14" i="14"/>
  <c r="C12" i="14"/>
  <c r="D9" i="14"/>
  <c r="E9" i="14" s="1"/>
  <c r="E8" i="14"/>
  <c r="C71" i="14" l="1"/>
  <c r="E60" i="14"/>
  <c r="D88" i="14"/>
  <c r="E29" i="14"/>
  <c r="E42" i="14"/>
  <c r="E70" i="14"/>
  <c r="E73" i="14" s="1"/>
  <c r="D12" i="14"/>
  <c r="E12" i="14"/>
  <c r="C74" i="14"/>
  <c r="D29" i="14"/>
  <c r="E22" i="4"/>
  <c r="G35" i="3"/>
  <c r="E71" i="14" l="1"/>
  <c r="E74" i="14" s="1"/>
  <c r="D71" i="14"/>
  <c r="D74" i="14" s="1"/>
  <c r="H57" i="2"/>
  <c r="H49" i="2"/>
  <c r="H35" i="2"/>
  <c r="D71" i="12" l="1"/>
  <c r="D74" i="12" s="1"/>
  <c r="C71" i="12"/>
  <c r="C74" i="12" s="1"/>
  <c r="E70" i="12"/>
  <c r="E69" i="12"/>
  <c r="D66" i="12"/>
  <c r="D73" i="12" s="1"/>
  <c r="C66" i="12"/>
  <c r="C73" i="12" s="1"/>
  <c r="E65" i="12"/>
  <c r="E66" i="12" s="1"/>
  <c r="E73" i="12" s="1"/>
  <c r="E64" i="12"/>
  <c r="D61" i="12"/>
  <c r="C61" i="12"/>
  <c r="E58" i="12"/>
  <c r="E56" i="12"/>
  <c r="E54" i="12"/>
  <c r="E52" i="12"/>
  <c r="E51" i="12"/>
  <c r="E50" i="12"/>
  <c r="E49" i="12"/>
  <c r="E46" i="12"/>
  <c r="D46" i="12"/>
  <c r="C46" i="12"/>
  <c r="D43" i="12"/>
  <c r="C43" i="12"/>
  <c r="E42" i="12"/>
  <c r="E41" i="12"/>
  <c r="D38" i="12"/>
  <c r="C38" i="12"/>
  <c r="E36" i="12"/>
  <c r="E38" i="12" s="1"/>
  <c r="D34" i="12"/>
  <c r="C34" i="12"/>
  <c r="E32" i="12"/>
  <c r="E34" i="12" s="1"/>
  <c r="C30" i="12"/>
  <c r="E26" i="12"/>
  <c r="E25" i="12"/>
  <c r="E22" i="12"/>
  <c r="E21" i="12"/>
  <c r="E20" i="12"/>
  <c r="E19" i="12"/>
  <c r="D17" i="12"/>
  <c r="D30" i="12" s="1"/>
  <c r="E15" i="12"/>
  <c r="C13" i="12"/>
  <c r="D10" i="12"/>
  <c r="E10" i="12" s="1"/>
  <c r="E9" i="12"/>
  <c r="C72" i="12" l="1"/>
  <c r="C75" i="12" s="1"/>
  <c r="E61" i="12"/>
  <c r="D13" i="12"/>
  <c r="E43" i="12"/>
  <c r="E71" i="12"/>
  <c r="E74" i="12" s="1"/>
  <c r="E13" i="12"/>
  <c r="D72" i="12"/>
  <c r="D75" i="12" s="1"/>
  <c r="E17" i="12"/>
  <c r="E30" i="12" s="1"/>
  <c r="E72" i="12" l="1"/>
  <c r="E75" i="12" s="1"/>
  <c r="J15" i="5" l="1"/>
  <c r="H21" i="5" s="1"/>
  <c r="H22" i="5" s="1"/>
  <c r="F14" i="5"/>
  <c r="F15" i="5" s="1"/>
  <c r="D21" i="5" s="1"/>
  <c r="D22" i="5" s="1"/>
  <c r="C22" i="4" l="1"/>
  <c r="H26" i="2"/>
  <c r="H18" i="2"/>
  <c r="G18" i="2"/>
  <c r="G11" i="2"/>
  <c r="H26" i="1"/>
  <c r="H25" i="1"/>
  <c r="H21" i="1"/>
  <c r="H20" i="1"/>
  <c r="H13" i="1"/>
  <c r="H12" i="1"/>
  <c r="H29" i="2" l="1"/>
  <c r="G14" i="6" l="1"/>
  <c r="D35" i="6"/>
  <c r="D30" i="6"/>
  <c r="D29" i="6"/>
  <c r="D28" i="6"/>
  <c r="D26" i="6"/>
  <c r="D25" i="6"/>
  <c r="D24" i="6"/>
  <c r="D23" i="6"/>
  <c r="D20" i="9" l="1"/>
  <c r="C20" i="9"/>
  <c r="D32" i="8"/>
  <c r="C32" i="8" l="1"/>
  <c r="G31" i="8" s="1"/>
  <c r="E18" i="2" l="1"/>
  <c r="E28" i="2"/>
  <c r="D28" i="2"/>
  <c r="D18" i="2"/>
  <c r="D32" i="6" l="1"/>
  <c r="D31" i="6"/>
  <c r="D27" i="6"/>
  <c r="D22" i="6"/>
  <c r="D21" i="6"/>
  <c r="G19" i="6"/>
  <c r="G18" i="6"/>
  <c r="G17" i="6"/>
  <c r="G16" i="6"/>
  <c r="G15" i="6"/>
  <c r="G13" i="6"/>
  <c r="G12" i="6"/>
  <c r="G11" i="6"/>
  <c r="G36" i="6" s="1"/>
  <c r="D36" i="6" l="1"/>
  <c r="F25" i="1" l="1"/>
  <c r="F20" i="1"/>
  <c r="F21" i="1" s="1"/>
  <c r="F26" i="1" l="1"/>
  <c r="G21" i="3"/>
  <c r="E35" i="2"/>
  <c r="E26" i="2"/>
  <c r="E29" i="2" s="1"/>
  <c r="D26" i="2"/>
  <c r="E11" i="2"/>
  <c r="F12" i="1" l="1"/>
  <c r="F13" i="1" s="1"/>
</calcChain>
</file>

<file path=xl/comments1.xml><?xml version="1.0" encoding="utf-8"?>
<comments xmlns="http://schemas.openxmlformats.org/spreadsheetml/2006/main">
  <authors>
    <author>user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แก้ไขปรับปรุง ท้องที่กับโรงเรือน 29,150 เดืนอ พ.ค.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แก้ไขปรับปรุง ท้องที่กับโรงเรือน 29,150 เดืนอ พ.ค.
</t>
        </r>
      </text>
    </comment>
  </commentList>
</comments>
</file>

<file path=xl/sharedStrings.xml><?xml version="1.0" encoding="utf-8"?>
<sst xmlns="http://schemas.openxmlformats.org/spreadsheetml/2006/main" count="688" uniqueCount="352">
  <si>
    <t>งบแสดงฐานะการเงิน</t>
  </si>
  <si>
    <t>ทรัพย์สินตามงบทรัพย์สิน</t>
  </si>
  <si>
    <t>สินทรัพย์หมุนเวียน</t>
  </si>
  <si>
    <t>ลูกหนี้ภาษีบำรุงท้องที่</t>
  </si>
  <si>
    <t>ลูกหนี้รายได้อื่น ๆ</t>
  </si>
  <si>
    <t>ลูกหนี้เงินทุนโครงการเศษฐกิจชุมชน</t>
  </si>
  <si>
    <t>รวมสินทรัพย์หมุนเวียน</t>
  </si>
  <si>
    <t>รวมสินทรัพย์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</si>
  <si>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</si>
  <si>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</si>
  <si>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</si>
  <si>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</si>
  <si>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</si>
  <si>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</si>
  <si>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</si>
  <si>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</si>
  <si>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</si>
  <si>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</si>
  <si>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</si>
  <si>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หมายเหตุประกอบงบแสดงฐานะการเงินเป็นส่วนหนึ่งของงบการเงินนี้</t>
  </si>
  <si>
    <t>หมายเหตุ</t>
  </si>
  <si>
    <t>เงินสดและเงินฝากธนาคาร</t>
  </si>
  <si>
    <t>หมายเหตุประกอบงบแสดงฐานะการเงิน</t>
  </si>
  <si>
    <t>หมายเหตุ 3</t>
  </si>
  <si>
    <t>รวม</t>
  </si>
  <si>
    <t>หมายเหตุ 4</t>
  </si>
  <si>
    <t>หมายเหตุ 5</t>
  </si>
  <si>
    <t>ลูกหนี้ค่าภาษี</t>
  </si>
  <si>
    <t>ประเภทลูกหนี้</t>
  </si>
  <si>
    <t>ประจำปี</t>
  </si>
  <si>
    <t>จำนวนราย</t>
  </si>
  <si>
    <t>จำนวนเงิน</t>
  </si>
  <si>
    <t>ลูกหนี้ค่าน้ำประปา</t>
  </si>
  <si>
    <t>ลูกหนี้ค่าขยะ</t>
  </si>
  <si>
    <t>หมายเหตุ 6</t>
  </si>
  <si>
    <t>หมายเหตุ 7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</si>
  <si>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</si>
  <si>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</si>
  <si>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</si>
  <si>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</si>
  <si>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</si>
  <si>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</si>
  <si>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งบประมาณ</t>
  </si>
  <si>
    <t>เคหะและชุมชน</t>
  </si>
  <si>
    <t>ค่าที่ดินและสิ่งก่อสร้าง</t>
  </si>
  <si>
    <t>ค่าก่อสร้างสิ่งสาธารณูปโภค</t>
  </si>
  <si>
    <t>ภาษีหัก ณ ที่จ่าย</t>
  </si>
  <si>
    <t>ค่าใช้จ่ายในการจัดเก็บภาษีบำรุงท้องที่ 5%</t>
  </si>
  <si>
    <t>ส่วนลดในการจัดเก็บภาษีบำรุงท้องที่ 6%</t>
  </si>
  <si>
    <t>ประกันสัญญา</t>
  </si>
  <si>
    <t>เงินทุนโครงการเศรษฐกิจชุมชน</t>
  </si>
  <si>
    <t>รายรับจริงสูงกว่ารายจ่ายจริง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</si>
  <si>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25% ของรายรับจริงสูงกว่ารายจ่ายจริง</t>
    </r>
  </si>
  <si>
    <t xml:space="preserve">    (เงินทุนสำรองเงินสะสม)</t>
  </si>
  <si>
    <t>บวก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</si>
  <si>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</si>
  <si>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</si>
  <si>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</si>
  <si>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>4. เงินสะสมที่สามารถนำไปใช้ได้</t>
  </si>
  <si>
    <t>องค์การบริหารส่วนตำบลงิ้วราย</t>
  </si>
  <si>
    <t>บริหารงานทั่วไป</t>
  </si>
  <si>
    <t>บริหารทั่วไป</t>
  </si>
  <si>
    <t>ค่าครุภัณฑ์</t>
  </si>
  <si>
    <t>ครุภัณฑ์สำนักงาน</t>
  </si>
  <si>
    <t>ครุภัณฑ์ยานพาหนะและขนส่ง</t>
  </si>
  <si>
    <t>ครุภัณฑ์ไฟฟ้าและวิทยุ</t>
  </si>
  <si>
    <t>โครงการจัดทำแผนผังองค์การ จำนวน 1 ป้าย</t>
  </si>
  <si>
    <t>จัดซื้อรถบรรทุก (ดีเซล) จำนวน 1 คัน</t>
  </si>
  <si>
    <t>จัดซื้อระบบกล้องโทรทัศน์วงจรปิดที่ทำการ อบต.</t>
  </si>
  <si>
    <t>วางท่อระบายน้ำคอนกรีตเสริมเหล็กพร้อมบ่อพัก หมู่ที่ 4</t>
  </si>
  <si>
    <t xml:space="preserve">จัดทำป้ายบอกที่ตั้งและที่ทำการองค์การบริหารส่วนตำบลงิ้วราย </t>
  </si>
  <si>
    <t>ซ่อมแซมถนนคอนกรีตเสริมเหล็กที่ชำรุด ซอย 2 หมู่ที่ 2</t>
  </si>
  <si>
    <t>ไฟฟ้าถนน</t>
  </si>
  <si>
    <t>อุตสาหกรรมและการโยธา</t>
  </si>
  <si>
    <t>ก่อสร้างโครงสร้างพื้นฐาน</t>
  </si>
  <si>
    <t>ค่าก่อสร้างสิ่งสาธารณูปการ</t>
  </si>
  <si>
    <t>จัดทำพร้อมติดตั้งหลังคากันสาด</t>
  </si>
  <si>
    <t>บริหารงานคลัง</t>
  </si>
  <si>
    <t>ค่าใช้สอย</t>
  </si>
  <si>
    <t>รายจ่ายเพื่อให้ได้มาซึ่งบริการ</t>
  </si>
  <si>
    <t>สาธารณสุข</t>
  </si>
  <si>
    <t>บริหารทั่วไปเกี่ยวกับสาธารณสุข</t>
  </si>
  <si>
    <t>ค่าจ้างเหมาเจ้าหน้าที่จัดเก็บขยะในเขตองค์การบริหารส่วนตำบล เดือนกันยายน 2560</t>
  </si>
  <si>
    <t>ค่าจ้างเหมาเจ้าหน้าที่ปฏิบัติงานเกี่ยวกับการบันทึกข้อมูลฯ เดือนกันยายน 2560</t>
  </si>
  <si>
    <t>วางแผนสถิติและวิชาการ</t>
  </si>
  <si>
    <t>รายจ่ายอื่น</t>
  </si>
  <si>
    <t>ค่าจ้างหน่วยงานภายนอกเพื่อประเมินความพึงพอใจ</t>
  </si>
  <si>
    <t>การศึกษา</t>
  </si>
  <si>
    <t>ระดับก่อนวัยเรียนและประถมศึกษา</t>
  </si>
  <si>
    <t>ค่าวัสดุ</t>
  </si>
  <si>
    <t>ค่าอาหารเสริม (นม)</t>
  </si>
  <si>
    <t>จัดซื้ออาหารเสริม (นม) โรงเรียน</t>
  </si>
  <si>
    <t>ประกันสัญญาการใช้น้ำ</t>
  </si>
  <si>
    <t>ค่าธรรมเนียมการตรวจแบบแปลน 10%</t>
  </si>
  <si>
    <t>เงินรับฝากเบี้ยยังชีพคนชรา ปี 2557</t>
  </si>
  <si>
    <t>เงินรับฝากเบี้ยยังชีพคนชรา ปี 2558</t>
  </si>
  <si>
    <t>เงินรับฝากเบี้ยยังชีพคนชรา ปี 2559</t>
  </si>
  <si>
    <t>เงินรับฝากเบี้ยยังชีพคนพิการ ปี 2558</t>
  </si>
  <si>
    <t>เงินรับฝากเบี้ยยังชีพคนพิการ ปี 2559</t>
  </si>
  <si>
    <t>ชดใช้ทุนการศึกษา</t>
  </si>
  <si>
    <t>เงินประกันความเสียหายอันเกิดจากการขุดดิน</t>
  </si>
  <si>
    <t>เงินรางวัลโครงการประกวดเมืองสวยน้ำใส</t>
  </si>
  <si>
    <t>เงินฝาก ธ.กรุงไทย (ออมทรัพย์) เลขที่ 733-1-10188-9</t>
  </si>
  <si>
    <t>เงินฝาก ธ.กรุงไทย (ประจำ) เลขที่ 733-2-09668-4</t>
  </si>
  <si>
    <t>เงินฝาก ธกส. (ออมทรัพย์) เลขที่ 01-324-2-13896-8</t>
  </si>
  <si>
    <t>เงินฝาก ธกส. (ออมทรัพย์) เลขที่ 01-324-2-16621-6</t>
  </si>
  <si>
    <t>เงินฝาก ธกส. (ประจำ) เลขที่ 30-324-4-11903-3</t>
  </si>
  <si>
    <t>ประเภททรัพย์สิน</t>
  </si>
  <si>
    <t>ราคาทรัพย์สิน</t>
  </si>
  <si>
    <t>หมายเหตุ 2  งบทรัพย์สิน</t>
  </si>
  <si>
    <t>แหล่งที่มาของทรัพย์สินทั้งหมด</t>
  </si>
  <si>
    <t>ชื่อ</t>
  </si>
  <si>
    <t>ก. อสังหาริมทรัพย์</t>
  </si>
  <si>
    <t xml:space="preserve">   </t>
  </si>
  <si>
    <t>อาคาร</t>
  </si>
  <si>
    <t>สาธารณูปโภค</t>
  </si>
  <si>
    <t>คมนาคม</t>
  </si>
  <si>
    <t>สาธารณะ</t>
  </si>
  <si>
    <t>ชลประทาน</t>
  </si>
  <si>
    <t>ทั่วไป</t>
  </si>
  <si>
    <t>รับโอนจากสภาตำบล</t>
  </si>
  <si>
    <t>รับบริจาค</t>
  </si>
  <si>
    <t>รายได้ อบต.</t>
  </si>
  <si>
    <t>ใช้งบ คพต.</t>
  </si>
  <si>
    <t>เงินอุดหนุนเฉพาะกิจ</t>
  </si>
  <si>
    <t>เงินอุดหนุนจากรัฐบาล</t>
  </si>
  <si>
    <t>เงินอุดหนุนภายใต้มาตรการฯ</t>
  </si>
  <si>
    <t>ข. สังหาริมทรัพย์</t>
  </si>
  <si>
    <t>ครุภัณฑ์ทั่วไป</t>
  </si>
  <si>
    <t>ครุภัณฑ์โยธา</t>
  </si>
  <si>
    <t>ครุภัณฑ์ของใช้สำนักงาน</t>
  </si>
  <si>
    <t>ครุภัณฑ์คอมพิวเตอร์</t>
  </si>
  <si>
    <t>ครุภัณฑ์เกษตร</t>
  </si>
  <si>
    <t>ครุภัณฑ์ก่อสร้าง</t>
  </si>
  <si>
    <t>ครุภัณฑ์โฆษณาและเผยแพร่</t>
  </si>
  <si>
    <t>ครุภัณฑ์งานบ้านงานครัว</t>
  </si>
  <si>
    <t>ครุภัณฑ์เครื่องดับเพลิง</t>
  </si>
  <si>
    <t>ครุภัณฑ์กีฬา</t>
  </si>
  <si>
    <t>ครุภัณฑ์อื่น</t>
  </si>
  <si>
    <t>คำอธิบาย</t>
  </si>
  <si>
    <t>1. ทรัพย์สินที่ได้มาจากรายได้ เงินสะสม เงินทุนสำรองเงินสะสม เงินที่มีผู้อุทิศให้และเงินอื่นโดยยกเว้นเงินกู้ ให้แสดง</t>
  </si>
  <si>
    <t>2. ทรัพย์สินที่ได้มาจากแหล่งเงินกู้ให้แสดงทรัพย์สินทุกประเภท</t>
  </si>
  <si>
    <t>ทรัพย์สินที่เป็นกรรมสิทธิ์ขององค์กรปกครองส่วนท้องถิ่น และองค์กรปกครองส่วนท้องถิ่นใช้ประโยชน์โดยตรง รวมทั้ง</t>
  </si>
  <si>
    <t>ทรัพย์สินที่ยืมหรือให้เช่า ยกเว้นทรัพย์สินที่จัดไว้เพื่อเป็นการให้บริการสาธารณะ เช่น ถนน สะพาน ลานกีฬา เป็นต้น</t>
  </si>
  <si>
    <t>ลูกหนี้ภาษีโรงเรือนและที่ดิน</t>
  </si>
  <si>
    <t>ลูกหนี้ภาษีป้าย</t>
  </si>
  <si>
    <t>ลูกหนี้ใบอนุญาตประกอบกิจการที่เป็นอันตรายต่อสุขภาพ</t>
  </si>
  <si>
    <t>รวมทั้งสิ้น</t>
  </si>
  <si>
    <t>รายรับจริงประกอบงบทดลองและรายงานรับ - จ่ายเงิน</t>
  </si>
  <si>
    <t>รหัสบัญชี</t>
  </si>
  <si>
    <t>ประมาณการ</t>
  </si>
  <si>
    <t>รวมแต่ต้นปี</t>
  </si>
  <si>
    <t>รายได้จัดเก็บเอง</t>
  </si>
  <si>
    <t>หมวดภาษีอากร</t>
  </si>
  <si>
    <t>หมวดรายได้จากทรัพย์สิน</t>
  </si>
  <si>
    <t>หมวดรายได้จากสาธารณูปโภคและการพาณิชย์</t>
  </si>
  <si>
    <t>หมวดรายได้เบ็ดเตล็ด</t>
  </si>
  <si>
    <t>หมวดภาษีจัดสรร</t>
  </si>
  <si>
    <t>รายได้ที่รัฐบาลอุดหนุนให้องค์กรปกครองส่วนท้องถิ่น</t>
  </si>
  <si>
    <t>หมวดเงินอุดหนุนทั่วไป</t>
  </si>
  <si>
    <t>รายได้ที่รัฐบาลอุดหนุนให้โดยระบุวัตถุประสงค์/เฉพาะกิจ</t>
  </si>
  <si>
    <t>หมวดเงินอุดหนุนระบุวัตถุประสงค์/เฉพาะกิจ</t>
  </si>
  <si>
    <t>งบทดลอง</t>
  </si>
  <si>
    <t>รายการ</t>
  </si>
  <si>
    <t>เดบิต</t>
  </si>
  <si>
    <t>เครดิต</t>
  </si>
  <si>
    <t>บัญชีเงินฝาก ธ.กรุงไทย (ออมทรัพย์) เลขที่ 733-1-10188-9</t>
  </si>
  <si>
    <t>บัญชีเงินฝาก ธ.ธกส. (ออมทรัพย์) เลขที่ 01-324-2-13896-8</t>
  </si>
  <si>
    <t>บัญชีเงินฝาก ธ.ธกส. (ออมทรัพย์) เลขที่ 01-324-2-16621-6</t>
  </si>
  <si>
    <t>บัญชีเงินฝาก ธ.ธกส. (ประจำ) เลขที่ 30-324-4-11903-3</t>
  </si>
  <si>
    <t>บัญชีเงินฝาก ธ.กรุงไทย (ประจำ) เลขที่ 733-2-09668-4</t>
  </si>
  <si>
    <t>ลูกหนี้ - ภาษีโรงเรือนและที่ดิน</t>
  </si>
  <si>
    <t>ลูกหนี้ - ภาษีบำรุงท้องที่</t>
  </si>
  <si>
    <t>ลูกหนี้รายได้อื่นๆ - รายได้จากสาธารณูปโภคและการพาณิชย์</t>
  </si>
  <si>
    <t>ลูกหนี้รายได้อื่นๆ - ค่าธรรมเนียมเก็บและขนขยะมูลฝอย</t>
  </si>
  <si>
    <t>ลูกหนี้เงินทุนโครงการเศรษฐกิจชุมชน</t>
  </si>
  <si>
    <t>เงินรายรับ (หมายเหตุ 1)</t>
  </si>
  <si>
    <t>รายจ่ายค้างจ่าย (หมายเหตุ 2)</t>
  </si>
  <si>
    <t>เงินรับฝาก (หมายเหตุ 4)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</si>
  <si>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</si>
  <si>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</si>
  <si>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</si>
  <si>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</si>
  <si>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ค่าสาธารณูปโภค</t>
  </si>
  <si>
    <t>เงินอุดหนุน</t>
  </si>
  <si>
    <t>(นายสมัชชา  ทองสิมา)</t>
  </si>
  <si>
    <t>นายกองค์การบริหารส่วนตำบลงิ้วราย</t>
  </si>
  <si>
    <t>งบทดลองหลังปิดบัญชี</t>
  </si>
  <si>
    <t>ลูกหนี้รายได้อื่นๆ - ค่าน้ำประปา</t>
  </si>
  <si>
    <t>ปรับปรุงลูกหนี้ค่าภาษี</t>
  </si>
  <si>
    <t>1. ลูกหนี้ค่าภาษี</t>
  </si>
  <si>
    <t>2. ลูกหนี้รายได้อื่น ๆ</t>
  </si>
  <si>
    <t>3. ลูกหนี้เงินทุนโครงการเศรษฐกิจชุมชน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</si>
  <si>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</si>
  <si>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</si>
  <si>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</si>
  <si>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</si>
  <si>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ครุภัณฑ์โรงงาน</t>
  </si>
  <si>
    <t>ครุภัณฑ์วิทยาศาสตร์และการแพทย์</t>
  </si>
  <si>
    <t>รายจ่าย</t>
  </si>
  <si>
    <t>ณ วันที่  30   กันยายน  2561</t>
  </si>
  <si>
    <t>รักษาราชการแทน ผู้อำนวยการกองคลัง</t>
  </si>
  <si>
    <t>ปี 2560</t>
  </si>
  <si>
    <t>ปี 2561</t>
  </si>
  <si>
    <t>ณ วันที่ 30 กันยายน 2561</t>
  </si>
  <si>
    <t>สำหรับปี  สิ้นสุดวันที่ 30 กันยายน 2561</t>
  </si>
  <si>
    <t xml:space="preserve">รายจ่ายค้างจ่าย </t>
  </si>
  <si>
    <t xml:space="preserve">เงินรับฝาก </t>
  </si>
  <si>
    <t>เงินสนับสนุนโครงการโรงเรียนวัยเก๋า</t>
  </si>
  <si>
    <t>รายการปรับปรุงยอดเงินสะสมระหว่างปี</t>
  </si>
  <si>
    <t>ทั้งนี้ในปีงบประมาณ 2561 ได้รับอนุมัติให้จ่ายเงินสะสมที่อยู่ระหว่างดำเนินการ จำนวน 0.00 บาท</t>
  </si>
  <si>
    <t>เงินสะสม 30 กันยายน</t>
  </si>
  <si>
    <t>เงินสะสม 30 กันยายน ประกอบด้วย</t>
  </si>
  <si>
    <t>เงินสะสม 1 ตุลาคม</t>
  </si>
  <si>
    <t xml:space="preserve"> (นายสมัชชา ทองสิมา)</t>
  </si>
  <si>
    <t xml:space="preserve">                        (นางสาวจารุวรรณ ถิรนันทนากร)                      (นางณัฐณิชา อนุกูลเวช)   </t>
  </si>
  <si>
    <t>รองปลัดองค์การบริหารส่วนตำบลงิ้วราย             ปลัดองค์การบริหารส่วนตำบลงิ้วราย</t>
  </si>
  <si>
    <t xml:space="preserve"> รักษาราชการแทน ผู้อำนวยการกองคลัง</t>
  </si>
  <si>
    <t>รองปลัดองค์การบริหารส่วนตำบลงิ้วราย ปลัดองค์การบริหารส่วนตำบลงิ้วราย</t>
  </si>
  <si>
    <t xml:space="preserve">  (นางสาวจารุวรรณ  ถิรนันทนากร)          (นางณัฐณิชา  อนุกูลเวช)</t>
  </si>
  <si>
    <t>องค์การบริหารส่วนตำบลงิ้วราย อำเภอนครชัยศรี  จังหวัดนครปฐม</t>
  </si>
  <si>
    <t>วันที่ 30 กันยายน 2561</t>
  </si>
  <si>
    <t>รับจริงเดือนนี้</t>
  </si>
  <si>
    <t>ภาษีโรงเรือนและที่ดิน</t>
  </si>
  <si>
    <t>ภาษีบำรุงท้องที่</t>
  </si>
  <si>
    <t>ภาษีป้าย</t>
  </si>
  <si>
    <t>หมวดค่าธรรมเนียม ค่าปรับและใบอนุญาต</t>
  </si>
  <si>
    <t>ค่าธรรมเนียมเกี่ยวกับใบอนญาตการขายสุรา</t>
  </si>
  <si>
    <t>ค่าธรรมเนียมเกี่ยวกับการควบคุมอาคาร</t>
  </si>
  <si>
    <t>ค่าธรรมเนียมเก็บและขนขยะมูลฝอย</t>
  </si>
  <si>
    <t>ค่าธรรมเนียมในการออกหนังสือรับรองการแจ้งสถานที่จำหน่ายฯ</t>
  </si>
  <si>
    <t>ค่าธรรมเนียมเกี่ยวกับจดทะเบียนพาณิชย์</t>
  </si>
  <si>
    <t>ค่าธรรมเนียมปิด โปรย ติดตั้งแผ่นป้ายประกาศหรือแผ่นปลิวฯ</t>
  </si>
  <si>
    <t>ค่าธรรมเนียมอื่นๆ</t>
  </si>
  <si>
    <t>ค่าปรับผู้กระทำผิดกฎหมายจราจรทางบก</t>
  </si>
  <si>
    <t>ค่าปรับการผิดสัญญา</t>
  </si>
  <si>
    <t>ค่าปรับอื่นๆ</t>
  </si>
  <si>
    <t>ค่าใบอนุญาตประกอบกิจการที่เป็นอันตรายต่อสุขภาพ</t>
  </si>
  <si>
    <t>ค่าใบอนุญาตจัดตั้งสถานที่จำหน่ายอาหารฯ</t>
  </si>
  <si>
    <t>ค่าใบอนุญาตให้ตั้งตลาดเอกชน</t>
  </si>
  <si>
    <t>ค่าใบอนุญาตเกี่ยวกับการควบคุมอาคาร</t>
  </si>
  <si>
    <t>ดอกเบี้ย</t>
  </si>
  <si>
    <t xml:space="preserve">        รายได้จากสาธารณูปโภคและการพาณิชย์</t>
  </si>
  <si>
    <t>ค่าขายแบบแปลน</t>
  </si>
  <si>
    <t>รายได้เบ็ดเตล็ดอื่น ๆ</t>
  </si>
  <si>
    <t>หมวดรายได้จากทุน</t>
  </si>
  <si>
    <t>ค่าขายทอดตลาดทรัพย์สิน</t>
  </si>
  <si>
    <t>รวมตั้งแต่ต้นปี</t>
  </si>
  <si>
    <t>รายได้ที่รัฐบาลเก็บแล้วจัดสรรให้องค์กรปกครองส่วนท้องถิ่น</t>
  </si>
  <si>
    <t xml:space="preserve">      ภาษีและค่าธรรมเนียมรถยนต์และล้อเลื่อน</t>
  </si>
  <si>
    <t>ภาษีมูลค่าเพิ่มตาม พ.ร.บ.กำหนดแผนกระจายอำนาจ</t>
  </si>
  <si>
    <t>ภาษีมูลค่าเพิ่มตาม พ.ร.บ.จัดสรรรายได้ฯ</t>
  </si>
  <si>
    <t>ภาษีธุกิจเฉพาะ</t>
  </si>
  <si>
    <t>ภาษีสุรา</t>
  </si>
  <si>
    <t>ภาษีสรรพสามิต</t>
  </si>
  <si>
    <t>ค่าภาคหลวงและค่าธรรมเนียมตามกฎหมายว่าด้วยป่าไม้</t>
  </si>
  <si>
    <t>ค่าภาคหลวงแร่</t>
  </si>
  <si>
    <t>ค่าภาคหลวงปิโตรเลียม</t>
  </si>
  <si>
    <t>ค่าธรรมเนียมจดทะเบียนสิทธิและนิติกรรมตามประมวล กม.ที่ดิน</t>
  </si>
  <si>
    <t>อากรประทานบัตรและอาญาบัตรประมง</t>
  </si>
  <si>
    <t>ค่าธรรมเนียและค่าใช้น้ำบาดาล</t>
  </si>
  <si>
    <t>เงินอุดหนุนทั่วไปสำหรับ อปท.ที่มีการบริหารจัดการที่ดี</t>
  </si>
  <si>
    <t>เงินอุดหนุนทั่วไปสำหรับดำเนินการตามอำนาจหน้าที่ฯ</t>
  </si>
  <si>
    <t>เงินอุดหนุนระบุวัตถุประสงค์/เฉพาะกิจจากกรมส่งเสริมฯ</t>
  </si>
  <si>
    <t>เงินอุดหนุนระบุวัตถุประสงค์/เฉพาะกิจจากหน่วยงานอื่น</t>
  </si>
  <si>
    <t>รวมเงินรายรับไม่รวมเงินอุดหนุน</t>
  </si>
  <si>
    <t>รวมเงินอุดหนุนทั่วไป</t>
  </si>
  <si>
    <t>รวมเงินอุดหนุนระบุวัตถุประสงค์/เฉพาะกิจ</t>
  </si>
  <si>
    <t>รวมเงินรายรับทั้งสิ้น</t>
  </si>
  <si>
    <t>หมายเหตุ 8</t>
  </si>
  <si>
    <t>หมายเหตุ 9   เงินสะสม</t>
  </si>
  <si>
    <t>ปี2560</t>
  </si>
  <si>
    <t>กลุ่มเกษตรกร (ทำสวน)</t>
  </si>
  <si>
    <t>กลุ่มเกษตรกร ม.3</t>
  </si>
  <si>
    <t>กลุ่มเกษตรกร (ทำนา)</t>
  </si>
  <si>
    <t>กลุ่มเครื่องปั้นดินเผา หมู่ที่ 2</t>
  </si>
  <si>
    <t>กลุ่มเครื่องปั้นดินเผา</t>
  </si>
  <si>
    <t>กลุ่มเกษตรกร (ทำนา) หมู่ที่ 4  ต.งิ้วราย</t>
  </si>
  <si>
    <t>กลุ่มเกษตรกร (ทำสวน) หมู่ที่ 1</t>
  </si>
  <si>
    <t>กลุ่มเกษตรกร (ทำนา) หมู่ที่ 4 ต.งิ้วราย</t>
  </si>
  <si>
    <t>ชื่อ - สกุล ผู้ยืม</t>
  </si>
  <si>
    <t>โครงการที่ยืม</t>
  </si>
  <si>
    <t>ปี2561</t>
  </si>
  <si>
    <t>ค่าตอบแทนผู้ปฏิบัติราชการอันเป็นประโยชน์แก่องค์กรปกครองส่วนท้องถิ่น</t>
  </si>
  <si>
    <t>แผนงานการรักษาความสงบภายใน</t>
  </si>
  <si>
    <t>งานบริหารทั่วไปเกี่ยวกับการรักษาความสงบภายใน</t>
  </si>
  <si>
    <t>ระบบกล้องวงจรปิด พร้อมติดตั้ง จำนวน 1 ชุด</t>
  </si>
  <si>
    <t>แผนงานการศึกษา</t>
  </si>
  <si>
    <t>งานระดับก่อนวัยเรียนและประถมศึกษา</t>
  </si>
  <si>
    <t>แผนงานเคหะและชุมชน</t>
  </si>
  <si>
    <t>งานไฟฟ้าถนน</t>
  </si>
  <si>
    <t>โครงการปรับปรุงถนนพร้อมวางท่อระบายน้ำ ค.ส.ล. ขนาดเส้นผ่าศูนย์กลาง 0.40 เมตร ซอยสองพี่น้อง หมู่ที่ 4</t>
  </si>
  <si>
    <t>โครงการปรับปรุงประตูระบายน้ำหลังโรงเรียนงิ้วรายบุญมีรังสฤษดิ์ หมู่ที่ 3</t>
  </si>
  <si>
    <t>โครงการปรับปรุงยกระดับถนนคอนกรีต บริเวณบ้านนายชัย-ศาลาอเนกประสงค์ หมูที่ 2</t>
  </si>
  <si>
    <t>แผนงานอุตสาหกรรมและการโยธา</t>
  </si>
  <si>
    <t>งานบริหารทั่วไปเกี่ยวกับอุตสาหกรรมและการโยธา</t>
  </si>
  <si>
    <t>ค่าออกแบบ ค่าควบคุมงานที่จ่ายให้แก่เอกชน นิติบุคคลหรือบุคคลภายนอกเพื่อให้ได้มาซึ่งสิ่งก่อสร้าง</t>
  </si>
  <si>
    <t>รายจ่ายเพื่อจ้างออกแบบจ้างควบคุมงานที่จ่ายให้แก่เอกชนหรือนิติบุคคล</t>
  </si>
  <si>
    <t>งานก่อสร้างโครงสร้างพื้นฐาน</t>
  </si>
  <si>
    <t>โครงการซ่อมแซมถนนสายหลังวัดงิ้วราย หมู่ที่ 4</t>
  </si>
  <si>
    <t>โครงการปรับปรุงลานข้างศาลาอเนกประสงค์ หมู่ที่ 2</t>
  </si>
  <si>
    <t>รายละเอียดครุภัณฑ์ ที่ดินและสิ่งก่อสร้าง ประจำปีงบประมาณ 2561</t>
  </si>
  <si>
    <t>องค์การบริหารส่วนตำบลงิ้วราย อำเภอนครชัยศรี จังหวัดนครปฐม</t>
  </si>
  <si>
    <t>หมวด/ประเภท</t>
  </si>
  <si>
    <t>เงินรายได้</t>
  </si>
  <si>
    <t>วันที่เบิกจ่ายเงิน</t>
  </si>
  <si>
    <t>ประเภทครุภัณฑ์สำนักงาน</t>
  </si>
  <si>
    <t>โต๊ะทำงานพร้อมเก้าอี้ จำนวน 2 ชุด</t>
  </si>
  <si>
    <t>ตู้เอกสารบานเลื่อน จำนวน 2 ตู้</t>
  </si>
  <si>
    <t>ประเภทครุภัณฑ์โฆษณาและเผยแพร่</t>
  </si>
  <si>
    <t>ค่าขาแขวนทีวีตั้งพื้นมีล้อเลื่อน</t>
  </si>
  <si>
    <t xml:space="preserve">ค่าโทรทัศน์ แอลอีดี พร้อมขาตั้ง </t>
  </si>
  <si>
    <t>ประเภทครุภัณฑ์เครื่องดับเพลิง</t>
  </si>
  <si>
    <t>ค่าหัวฉีดน้ำดับเพลิง 2 หัว</t>
  </si>
  <si>
    <t>ประเภทครุภัณฑ์ยานพาหนะและขนส่ง</t>
  </si>
  <si>
    <t>ค่ารถพ่วงข้างรถจักรยานยนต์ 1 คัน</t>
  </si>
  <si>
    <t>ค่าแผนผังองค์การ</t>
  </si>
  <si>
    <t>ค่ารถบรรทุก (ดีเซล) 1 คัน</t>
  </si>
  <si>
    <t>ค่าระบบกล้องโทรทัศน์วงจรปิด</t>
  </si>
  <si>
    <t>ประเภทครุภัณฑ์คอมพิวเตอร์</t>
  </si>
  <si>
    <t>คอมพิวเตอร์สำนักงาน จำนวน 2 ชุด</t>
  </si>
  <si>
    <t>เครื่องพิมพ์เลเซอร์ จำนวน 1 เครื่อง</t>
  </si>
  <si>
    <t>เครื่องคอมพิวเตอร์สำหรับประมวลผล</t>
  </si>
  <si>
    <t>เครื่องพิมพ์เอกสารสี กองสังคมสงเคราะห์</t>
  </si>
  <si>
    <t>เครื่องพิมพ์เอกสารสี สำนักปลัด</t>
  </si>
  <si>
    <t>เครื่องสำรองไฟ 3 เครื่อง</t>
  </si>
  <si>
    <t>ประเภทครุภัณฑ์งานบ้านงานครัว</t>
  </si>
  <si>
    <t>เครื่องตัดแต่งพุ่มไม้</t>
  </si>
  <si>
    <t>ประเภทครุภัณฑ์ก่อสร้าง</t>
  </si>
  <si>
    <t>เครื่องเลื่อยยนต์</t>
  </si>
  <si>
    <t>สว่านกระแทก</t>
  </si>
  <si>
    <t>ประเภทครุภัณฑ์โรงงาน</t>
  </si>
  <si>
    <t>เครื่องเป่าลม</t>
  </si>
  <si>
    <t>เครื่องเป่าลมร้อน</t>
  </si>
  <si>
    <t>เลื่อยฉลุไฟฟ้า</t>
  </si>
  <si>
    <t>ประเภทครุภัณฑ์การเกษตร</t>
  </si>
  <si>
    <t>ท่อสูบน้ำ แบบท่อพญานาค 1 เครื่อง</t>
  </si>
  <si>
    <t>รายงานการรับจ่ายเงิน ประจำปีงบประมาณ 2561</t>
  </si>
  <si>
    <t>รวมเงินรายจ่ายทั้งสิ้น</t>
  </si>
  <si>
    <t>รับโอนจาก อบจ.</t>
  </si>
  <si>
    <t>2560</t>
  </si>
  <si>
    <t>รถเข็นชนิดนั่ง จำนวน 2 คัน</t>
  </si>
  <si>
    <t>ประเภทครุภัณฑ์วิทยาศาสตร์หรือการแพทย์</t>
  </si>
  <si>
    <t>ค่าจ้างรื้อพร้อมก่อสร้างอาคารห้องน้ำสาธารณะ หมู่ที่ 2</t>
  </si>
  <si>
    <t>รายละเอียดแนบท้ายหมายเหตุ 9 เงินสะสม</t>
  </si>
  <si>
    <t>ค่าจ้างปรับปรุงยกระดับถนนเลียบแม่น้ำ (ช่วงตรงข้ามวัดกกตาล)พร้อมปรับปรุงท่อระบายน้ำที่ชำรุด หมู่ที่ 1 เชื่อมหมู่ที่ 2</t>
  </si>
  <si>
    <t>ยอดยกมา</t>
  </si>
  <si>
    <t>รับเพิ่มงวดนี้</t>
  </si>
  <si>
    <t>จำหน่าย/โอน</t>
  </si>
  <si>
    <t>ยอดคงเหลือ</t>
  </si>
  <si>
    <t>แหล่งที่มาของทรัพย์สิน</t>
  </si>
  <si>
    <t>กระดาษทำการงบทรัพย์สิน ประจำปีงบประมาณ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</si>
</sst>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000"/>
    <numFmt numFmtId="188" formatCode="[$-1070000]d/m/yy;@"/>
    <numFmt numFmtId="189" formatCode="d\ mmm\ yy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u/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name val="CordiaUPC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UPC"/>
      <family val="2"/>
      <charset val="222"/>
    </font>
    <font>
      <b/>
      <sz val="14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name val="AngsanaUPC"/>
      <family val="1"/>
      <charset val="22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20" fillId="0" borderId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3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43" fontId="2" fillId="0" borderId="3" xfId="1" applyFont="1" applyBorder="1"/>
    <xf numFmtId="0" fontId="2" fillId="0" borderId="0" xfId="0" applyFont="1" applyBorder="1"/>
    <xf numFmtId="43" fontId="2" fillId="0" borderId="0" xfId="1" applyFont="1" applyBorder="1"/>
    <xf numFmtId="0" fontId="6" fillId="0" borderId="0" xfId="0" applyFont="1" applyBorder="1"/>
    <xf numFmtId="0" fontId="4" fillId="0" borderId="0" xfId="0" applyFont="1" applyBorder="1"/>
    <xf numFmtId="43" fontId="2" fillId="0" borderId="4" xfId="1" applyFont="1" applyBorder="1"/>
    <xf numFmtId="0" fontId="2" fillId="0" borderId="5" xfId="0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2" xfId="0" applyFont="1" applyBorder="1"/>
    <xf numFmtId="43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5" xfId="1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43" fontId="2" fillId="0" borderId="5" xfId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3" fontId="2" fillId="0" borderId="6" xfId="1" applyFont="1" applyBorder="1"/>
    <xf numFmtId="0" fontId="7" fillId="0" borderId="0" xfId="0" applyFont="1"/>
    <xf numFmtId="43" fontId="2" fillId="0" borderId="10" xfId="1" applyFont="1" applyBorder="1"/>
    <xf numFmtId="43" fontId="2" fillId="0" borderId="11" xfId="1" applyFont="1" applyBorder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43" fontId="3" fillId="0" borderId="16" xfId="1" applyFont="1" applyBorder="1"/>
    <xf numFmtId="43" fontId="3" fillId="0" borderId="3" xfId="1" applyFont="1" applyBorder="1"/>
    <xf numFmtId="43" fontId="3" fillId="0" borderId="0" xfId="0" applyNumberFormat="1" applyFont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43" fontId="13" fillId="0" borderId="5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13" fillId="0" borderId="0" xfId="1" applyFont="1" applyBorder="1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43" fontId="8" fillId="0" borderId="16" xfId="1" applyFont="1" applyBorder="1"/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43" fontId="8" fillId="0" borderId="17" xfId="1" applyFont="1" applyBorder="1"/>
    <xf numFmtId="43" fontId="3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2" fillId="0" borderId="9" xfId="1" applyFont="1" applyBorder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43" fontId="2" fillId="0" borderId="0" xfId="1" applyFont="1"/>
    <xf numFmtId="43" fontId="2" fillId="0" borderId="4" xfId="1" applyFont="1" applyBorder="1"/>
    <xf numFmtId="43" fontId="2" fillId="0" borderId="5" xfId="0" applyNumberFormat="1" applyFont="1" applyBorder="1"/>
    <xf numFmtId="43" fontId="2" fillId="0" borderId="14" xfId="1" applyFont="1" applyBorder="1"/>
    <xf numFmtId="43" fontId="2" fillId="0" borderId="2" xfId="1" applyFont="1" applyBorder="1"/>
    <xf numFmtId="43" fontId="2" fillId="0" borderId="16" xfId="1" applyFont="1" applyBorder="1"/>
    <xf numFmtId="43" fontId="2" fillId="0" borderId="13" xfId="1" applyFont="1" applyBorder="1"/>
    <xf numFmtId="43" fontId="2" fillId="0" borderId="17" xfId="1" applyFont="1" applyBorder="1"/>
    <xf numFmtId="43" fontId="2" fillId="0" borderId="18" xfId="1" applyFont="1" applyBorder="1"/>
    <xf numFmtId="43" fontId="2" fillId="0" borderId="0" xfId="1" applyFont="1" applyAlignment="1">
      <alignment horizontal="left" vertical="center"/>
    </xf>
    <xf numFmtId="0" fontId="6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6" fillId="0" borderId="19" xfId="0" applyFont="1" applyBorder="1"/>
    <xf numFmtId="0" fontId="6" fillId="0" borderId="19" xfId="0" applyFont="1" applyBorder="1"/>
    <xf numFmtId="0" fontId="15" fillId="0" borderId="20" xfId="0" applyFont="1" applyBorder="1" applyAlignment="1">
      <alignment horizontal="left" indent="1"/>
    </xf>
    <xf numFmtId="187" fontId="15" fillId="0" borderId="20" xfId="0" applyNumberFormat="1" applyFont="1" applyBorder="1" applyAlignment="1">
      <alignment horizontal="center"/>
    </xf>
    <xf numFmtId="0" fontId="6" fillId="0" borderId="20" xfId="0" applyFont="1" applyBorder="1"/>
    <xf numFmtId="0" fontId="6" fillId="0" borderId="20" xfId="0" applyFont="1" applyBorder="1" applyAlignment="1">
      <alignment horizontal="left" indent="3"/>
    </xf>
    <xf numFmtId="187" fontId="6" fillId="0" borderId="20" xfId="0" applyNumberFormat="1" applyFont="1" applyBorder="1" applyAlignment="1">
      <alignment horizontal="center"/>
    </xf>
    <xf numFmtId="43" fontId="6" fillId="0" borderId="20" xfId="1" applyFont="1" applyBorder="1"/>
    <xf numFmtId="43" fontId="6" fillId="0" borderId="21" xfId="1" applyFont="1" applyBorder="1"/>
    <xf numFmtId="0" fontId="15" fillId="0" borderId="20" xfId="0" applyFont="1" applyBorder="1" applyAlignment="1">
      <alignment horizontal="right"/>
    </xf>
    <xf numFmtId="43" fontId="15" fillId="0" borderId="5" xfId="1" applyFont="1" applyBorder="1"/>
    <xf numFmtId="43" fontId="6" fillId="0" borderId="22" xfId="1" applyFont="1" applyBorder="1"/>
    <xf numFmtId="43" fontId="6" fillId="0" borderId="23" xfId="1" applyFont="1" applyBorder="1"/>
    <xf numFmtId="0" fontId="6" fillId="0" borderId="24" xfId="0" applyFont="1" applyBorder="1" applyAlignment="1">
      <alignment horizontal="left" indent="3"/>
    </xf>
    <xf numFmtId="43" fontId="6" fillId="0" borderId="22" xfId="1" applyFont="1" applyFill="1" applyBorder="1"/>
    <xf numFmtId="43" fontId="6" fillId="0" borderId="2" xfId="1" applyFont="1" applyBorder="1"/>
    <xf numFmtId="43" fontId="6" fillId="0" borderId="3" xfId="1" applyFont="1" applyBorder="1"/>
    <xf numFmtId="187" fontId="15" fillId="0" borderId="22" xfId="0" applyNumberFormat="1" applyFont="1" applyBorder="1" applyAlignment="1">
      <alignment horizontal="center"/>
    </xf>
    <xf numFmtId="43" fontId="15" fillId="0" borderId="19" xfId="1" applyFont="1" applyBorder="1"/>
    <xf numFmtId="0" fontId="6" fillId="0" borderId="22" xfId="0" applyFont="1" applyBorder="1" applyAlignment="1">
      <alignment horizontal="left"/>
    </xf>
    <xf numFmtId="187" fontId="6" fillId="0" borderId="22" xfId="0" applyNumberFormat="1" applyFont="1" applyBorder="1" applyAlignment="1">
      <alignment horizontal="center"/>
    </xf>
    <xf numFmtId="0" fontId="15" fillId="0" borderId="22" xfId="0" applyFont="1" applyBorder="1" applyAlignment="1">
      <alignment horizontal="right"/>
    </xf>
    <xf numFmtId="0" fontId="15" fillId="0" borderId="22" xfId="0" applyFont="1" applyBorder="1" applyAlignment="1">
      <alignment horizontal="left" indent="1"/>
    </xf>
    <xf numFmtId="43" fontId="6" fillId="0" borderId="5" xfId="1" applyFont="1" applyBorder="1"/>
    <xf numFmtId="0" fontId="15" fillId="0" borderId="20" xfId="0" applyFont="1" applyBorder="1" applyAlignment="1">
      <alignment horizontal="right" vertical="center"/>
    </xf>
    <xf numFmtId="43" fontId="15" fillId="0" borderId="5" xfId="1" applyFont="1" applyBorder="1" applyAlignment="1">
      <alignment vertical="center"/>
    </xf>
    <xf numFmtId="0" fontId="15" fillId="0" borderId="22" xfId="0" applyFont="1" applyBorder="1"/>
    <xf numFmtId="0" fontId="15" fillId="0" borderId="22" xfId="0" applyFont="1" applyBorder="1" applyAlignment="1">
      <alignment horizontal="center"/>
    </xf>
    <xf numFmtId="0" fontId="6" fillId="0" borderId="22" xfId="0" applyFont="1" applyBorder="1"/>
    <xf numFmtId="0" fontId="15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 indent="1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left" indent="3"/>
    </xf>
    <xf numFmtId="43" fontId="6" fillId="0" borderId="25" xfId="1" applyFont="1" applyBorder="1"/>
    <xf numFmtId="43" fontId="15" fillId="0" borderId="14" xfId="1" applyFont="1" applyBorder="1"/>
    <xf numFmtId="0" fontId="15" fillId="0" borderId="20" xfId="0" applyFont="1" applyBorder="1" applyAlignment="1">
      <alignment horizontal="left"/>
    </xf>
    <xf numFmtId="43" fontId="15" fillId="0" borderId="3" xfId="1" applyFont="1" applyBorder="1"/>
    <xf numFmtId="43" fontId="6" fillId="0" borderId="20" xfId="1" quotePrefix="1" applyFont="1" applyBorder="1" applyAlignment="1">
      <alignment horizontal="right"/>
    </xf>
    <xf numFmtId="0" fontId="15" fillId="0" borderId="25" xfId="0" applyFont="1" applyBorder="1" applyAlignment="1">
      <alignment horizontal="right"/>
    </xf>
    <xf numFmtId="43" fontId="15" fillId="0" borderId="5" xfId="1" quotePrefix="1" applyFont="1" applyBorder="1" applyAlignment="1">
      <alignment horizontal="right"/>
    </xf>
    <xf numFmtId="0" fontId="6" fillId="0" borderId="2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43" fontId="6" fillId="0" borderId="19" xfId="1" applyFont="1" applyFill="1" applyBorder="1"/>
    <xf numFmtId="0" fontId="6" fillId="0" borderId="22" xfId="0" applyFont="1" applyBorder="1" applyAlignment="1">
      <alignment horizontal="center"/>
    </xf>
    <xf numFmtId="43" fontId="6" fillId="0" borderId="25" xfId="1" applyFont="1" applyBorder="1" applyAlignment="1">
      <alignment horizontal="right"/>
    </xf>
    <xf numFmtId="0" fontId="1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43" fontId="15" fillId="0" borderId="15" xfId="1" applyFont="1" applyBorder="1"/>
    <xf numFmtId="0" fontId="1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15" fillId="0" borderId="0" xfId="1" applyFont="1" applyBorder="1"/>
    <xf numFmtId="0" fontId="17" fillId="0" borderId="0" xfId="0" applyFont="1" applyBorder="1" applyAlignment="1">
      <alignment horizontal="left"/>
    </xf>
    <xf numFmtId="43" fontId="6" fillId="0" borderId="0" xfId="1" applyFont="1" applyBorder="1"/>
    <xf numFmtId="43" fontId="17" fillId="0" borderId="0" xfId="1" applyFont="1" applyBorder="1" applyAlignment="1">
      <alignment horizontal="center"/>
    </xf>
    <xf numFmtId="0" fontId="11" fillId="0" borderId="2" xfId="4" applyFont="1" applyBorder="1" applyAlignment="1">
      <alignment horizontal="left"/>
    </xf>
    <xf numFmtId="0" fontId="11" fillId="0" borderId="13" xfId="4" applyFont="1" applyBorder="1"/>
    <xf numFmtId="0" fontId="2" fillId="0" borderId="17" xfId="0" applyFont="1" applyBorder="1"/>
    <xf numFmtId="0" fontId="2" fillId="0" borderId="8" xfId="0" applyFont="1" applyBorder="1"/>
    <xf numFmtId="0" fontId="21" fillId="0" borderId="5" xfId="0" applyNumberFormat="1" applyFont="1" applyFill="1" applyBorder="1" applyAlignment="1">
      <alignment vertical="top" wrapText="1" readingOrder="1"/>
    </xf>
    <xf numFmtId="0" fontId="21" fillId="0" borderId="5" xfId="0" applyNumberFormat="1" applyFont="1" applyFill="1" applyBorder="1" applyAlignment="1">
      <alignment horizontal="left" vertical="top" wrapText="1" readingOrder="1"/>
    </xf>
    <xf numFmtId="43" fontId="6" fillId="0" borderId="5" xfId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top" wrapText="1"/>
    </xf>
    <xf numFmtId="43" fontId="21" fillId="0" borderId="5" xfId="1" applyFont="1" applyFill="1" applyBorder="1" applyAlignment="1">
      <alignment horizontal="right" vertical="top" wrapText="1" readingOrder="1"/>
    </xf>
    <xf numFmtId="188" fontId="2" fillId="0" borderId="0" xfId="0" applyNumberFormat="1" applyFont="1" applyAlignment="1">
      <alignment horizontal="center" vertical="center"/>
    </xf>
    <xf numFmtId="0" fontId="14" fillId="0" borderId="5" xfId="0" applyFont="1" applyBorder="1"/>
    <xf numFmtId="43" fontId="8" fillId="0" borderId="15" xfId="1" applyFont="1" applyBorder="1"/>
    <xf numFmtId="43" fontId="2" fillId="0" borderId="0" xfId="1" applyFont="1"/>
    <xf numFmtId="0" fontId="13" fillId="0" borderId="0" xfId="0" applyFont="1" applyAlignment="1"/>
    <xf numFmtId="0" fontId="13" fillId="0" borderId="0" xfId="0" applyFont="1"/>
    <xf numFmtId="43" fontId="13" fillId="0" borderId="0" xfId="1" applyFo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3" fillId="0" borderId="6" xfId="0" applyFont="1" applyBorder="1"/>
    <xf numFmtId="43" fontId="3" fillId="0" borderId="5" xfId="1" applyFont="1" applyBorder="1"/>
    <xf numFmtId="0" fontId="2" fillId="0" borderId="5" xfId="0" applyFont="1" applyBorder="1" applyAlignment="1">
      <alignment horizontal="center" vertical="center"/>
    </xf>
    <xf numFmtId="43" fontId="2" fillId="0" borderId="19" xfId="1" applyFont="1" applyBorder="1"/>
    <xf numFmtId="188" fontId="2" fillId="0" borderId="19" xfId="0" applyNumberFormat="1" applyFont="1" applyBorder="1" applyAlignment="1">
      <alignment horizontal="center" vertical="center"/>
    </xf>
    <xf numFmtId="43" fontId="2" fillId="0" borderId="20" xfId="1" applyFont="1" applyBorder="1"/>
    <xf numFmtId="188" fontId="2" fillId="0" borderId="20" xfId="0" applyNumberFormat="1" applyFont="1" applyBorder="1" applyAlignment="1">
      <alignment horizontal="center" vertical="center"/>
    </xf>
    <xf numFmtId="15" fontId="2" fillId="0" borderId="20" xfId="0" applyNumberFormat="1" applyFont="1" applyBorder="1" applyAlignment="1">
      <alignment horizontal="center" vertical="center"/>
    </xf>
    <xf numFmtId="43" fontId="2" fillId="0" borderId="25" xfId="1" applyFont="1" applyBorder="1"/>
    <xf numFmtId="15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/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 applyAlignment="1">
      <alignment horizontal="center" vertical="center"/>
    </xf>
    <xf numFmtId="43" fontId="2" fillId="0" borderId="22" xfId="1" applyFont="1" applyBorder="1"/>
    <xf numFmtId="43" fontId="3" fillId="0" borderId="3" xfId="0" applyNumberFormat="1" applyFont="1" applyBorder="1"/>
    <xf numFmtId="43" fontId="3" fillId="0" borderId="5" xfId="0" applyNumberFormat="1" applyFont="1" applyBorder="1"/>
    <xf numFmtId="43" fontId="3" fillId="0" borderId="1" xfId="1" applyFont="1" applyBorder="1" applyAlignment="1">
      <alignment horizontal="center" vertical="center"/>
    </xf>
    <xf numFmtId="189" fontId="3" fillId="0" borderId="14" xfId="1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2" fillId="0" borderId="0" xfId="1" applyFont="1"/>
    <xf numFmtId="43" fontId="2" fillId="0" borderId="4" xfId="1" applyFont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3" fontId="3" fillId="0" borderId="12" xfId="1" applyFont="1" applyBorder="1" applyAlignment="1">
      <alignment horizontal="center" vertical="center"/>
    </xf>
    <xf numFmtId="43" fontId="3" fillId="0" borderId="26" xfId="1" applyFont="1" applyBorder="1" applyAlignment="1">
      <alignment horizontal="center" vertical="center"/>
    </xf>
    <xf numFmtId="43" fontId="3" fillId="0" borderId="13" xfId="1" applyFont="1" applyBorder="1" applyAlignment="1">
      <alignment horizontal="center" vertical="center"/>
    </xf>
    <xf numFmtId="43" fontId="3" fillId="0" borderId="17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ปกติ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J13" sqref="J13"/>
    </sheetView>
  </sheetViews>
  <sheetFormatPr defaultRowHeight="21" x14ac:dyDescent="0.35"/>
  <cols>
    <col min="1" max="2" width="5.625" style="1" customWidth="1"/>
    <col min="3" max="3" width="20.625" style="1" customWidth="1"/>
    <col min="4" max="4" width="10.625" style="1" customWidth="1"/>
    <col min="5" max="5" width="8.625" style="2" customWidth="1"/>
    <col min="6" max="6" width="14.625" style="3" customWidth="1"/>
    <col min="7" max="7" width="3.625" style="1" customWidth="1"/>
    <col min="8" max="8" width="14.625" style="3" customWidth="1"/>
    <col min="9" max="16384" width="9" style="1"/>
  </cols>
  <sheetData>
    <row r="1" spans="1:8" ht="23.25" x14ac:dyDescent="0.35">
      <c r="A1" s="201" t="s">
        <v>59</v>
      </c>
      <c r="B1" s="201"/>
      <c r="C1" s="201"/>
      <c r="D1" s="201"/>
      <c r="E1" s="201"/>
      <c r="F1" s="201"/>
      <c r="G1" s="201"/>
      <c r="H1" s="201"/>
    </row>
    <row r="2" spans="1:8" ht="23.25" x14ac:dyDescent="0.35">
      <c r="A2" s="201" t="s">
        <v>0</v>
      </c>
      <c r="B2" s="201"/>
      <c r="C2" s="201"/>
      <c r="D2" s="201"/>
      <c r="E2" s="201"/>
      <c r="F2" s="201"/>
      <c r="G2" s="201"/>
      <c r="H2" s="201"/>
    </row>
    <row r="3" spans="1:8" ht="23.25" x14ac:dyDescent="0.35">
      <c r="A3" s="201" t="s">
        <v>204</v>
      </c>
      <c r="B3" s="201"/>
      <c r="C3" s="201"/>
      <c r="D3" s="201"/>
      <c r="E3" s="201"/>
      <c r="F3" s="201"/>
      <c r="G3" s="201"/>
      <c r="H3" s="201"/>
    </row>
    <row r="4" spans="1:8" ht="8.1" customHeight="1" x14ac:dyDescent="0.35"/>
    <row r="5" spans="1:8" x14ac:dyDescent="0.35">
      <c r="E5" s="7" t="s">
        <v>20</v>
      </c>
      <c r="F5" s="72" t="s">
        <v>202</v>
      </c>
      <c r="G5" s="64"/>
      <c r="H5" s="72" t="s">
        <v>203</v>
      </c>
    </row>
    <row r="6" spans="1:8" ht="21.75" thickBot="1" x14ac:dyDescent="0.4">
      <c r="A6" s="8" t="s">
        <v>1</v>
      </c>
      <c r="B6" s="8"/>
      <c r="E6" s="2">
        <v>2</v>
      </c>
      <c r="F6" s="33">
        <v>46691971.18</v>
      </c>
      <c r="H6" s="33">
        <v>48455953.18</v>
      </c>
    </row>
    <row r="7" spans="1:8" ht="21.75" thickTop="1" x14ac:dyDescent="0.35">
      <c r="A7" s="8"/>
      <c r="B7" s="8" t="s">
        <v>2</v>
      </c>
    </row>
    <row r="8" spans="1:8" x14ac:dyDescent="0.35">
      <c r="C8" s="1" t="s">
        <v>21</v>
      </c>
      <c r="E8" s="2">
        <v>3</v>
      </c>
      <c r="F8" s="3">
        <v>31029726.199999999</v>
      </c>
      <c r="H8" s="3">
        <v>31518934.190000001</v>
      </c>
    </row>
    <row r="9" spans="1:8" x14ac:dyDescent="0.35">
      <c r="C9" s="1" t="s">
        <v>27</v>
      </c>
      <c r="E9" s="2">
        <v>4</v>
      </c>
      <c r="F9" s="3">
        <v>187948.35</v>
      </c>
      <c r="H9" s="3">
        <v>123481.03</v>
      </c>
    </row>
    <row r="10" spans="1:8" x14ac:dyDescent="0.35">
      <c r="C10" s="1" t="s">
        <v>4</v>
      </c>
      <c r="E10" s="2">
        <v>5</v>
      </c>
      <c r="F10" s="3">
        <v>56110</v>
      </c>
      <c r="H10" s="3">
        <v>23585</v>
      </c>
    </row>
    <row r="11" spans="1:8" x14ac:dyDescent="0.35">
      <c r="C11" s="1" t="s">
        <v>5</v>
      </c>
      <c r="E11" s="2">
        <v>6</v>
      </c>
      <c r="F11" s="3">
        <v>400000</v>
      </c>
      <c r="H11" s="3">
        <v>400000</v>
      </c>
    </row>
    <row r="12" spans="1:8" x14ac:dyDescent="0.35">
      <c r="C12" s="8" t="s">
        <v>6</v>
      </c>
      <c r="F12" s="32">
        <f>SUM(F8:F11)</f>
        <v>31673784.550000001</v>
      </c>
      <c r="H12" s="32">
        <f>SUM(H8:H11)</f>
        <v>32066000.220000003</v>
      </c>
    </row>
    <row r="13" spans="1:8" ht="21.75" thickBot="1" x14ac:dyDescent="0.4">
      <c r="A13" s="8" t="s">
        <v>7</v>
      </c>
      <c r="F13" s="14">
        <f>F12</f>
        <v>31673784.550000001</v>
      </c>
      <c r="H13" s="14">
        <f>H12</f>
        <v>32066000.220000003</v>
      </c>
    </row>
    <row r="14" spans="1:8" ht="21.75" thickTop="1" x14ac:dyDescent="0.35"/>
    <row r="15" spans="1:8" ht="21.75" thickBot="1" x14ac:dyDescent="0.4">
      <c r="A15" s="8" t="s">
        <v>8</v>
      </c>
      <c r="B15" s="8"/>
      <c r="C15" s="8"/>
      <c r="E15" s="2">
        <v>2</v>
      </c>
      <c r="F15" s="33">
        <v>46691971.18</v>
      </c>
      <c r="H15" s="33">
        <f>H6</f>
        <v>48455953.18</v>
      </c>
    </row>
    <row r="16" spans="1:8" ht="21.75" thickTop="1" x14ac:dyDescent="0.35">
      <c r="A16" s="8" t="s">
        <v>9</v>
      </c>
      <c r="B16" s="8"/>
      <c r="C16" s="8"/>
    </row>
    <row r="17" spans="1:8" x14ac:dyDescent="0.35">
      <c r="A17" s="8"/>
      <c r="B17" s="8" t="s">
        <v>10</v>
      </c>
      <c r="C17" s="8"/>
    </row>
    <row r="18" spans="1:8" x14ac:dyDescent="0.35">
      <c r="C18" s="1" t="s">
        <v>11</v>
      </c>
      <c r="E18" s="2">
        <v>7</v>
      </c>
      <c r="F18" s="3">
        <v>2302515.5</v>
      </c>
      <c r="H18" s="3">
        <v>3125442.16</v>
      </c>
    </row>
    <row r="19" spans="1:8" x14ac:dyDescent="0.35">
      <c r="C19" s="1" t="s">
        <v>12</v>
      </c>
      <c r="E19" s="2">
        <v>8</v>
      </c>
      <c r="F19" s="30">
        <v>1358275.91</v>
      </c>
      <c r="H19" s="3">
        <v>1478296.74</v>
      </c>
    </row>
    <row r="20" spans="1:8" x14ac:dyDescent="0.35">
      <c r="A20" s="8"/>
      <c r="B20" s="8"/>
      <c r="C20" s="8" t="s">
        <v>13</v>
      </c>
      <c r="F20" s="3">
        <f>SUM(F18:F19)</f>
        <v>3660791.41</v>
      </c>
      <c r="H20" s="73">
        <f>SUM(H18:H19)</f>
        <v>4603738.9000000004</v>
      </c>
    </row>
    <row r="21" spans="1:8" ht="21.75" thickBot="1" x14ac:dyDescent="0.4">
      <c r="A21" s="8"/>
      <c r="B21" s="8" t="s">
        <v>14</v>
      </c>
      <c r="C21" s="8"/>
      <c r="F21" s="14">
        <f>F20</f>
        <v>3660791.41</v>
      </c>
      <c r="H21" s="14">
        <f>H20</f>
        <v>4603738.9000000004</v>
      </c>
    </row>
    <row r="22" spans="1:8" ht="21.75" thickTop="1" x14ac:dyDescent="0.35">
      <c r="A22" s="8" t="s">
        <v>15</v>
      </c>
      <c r="B22" s="8"/>
      <c r="C22" s="8"/>
    </row>
    <row r="23" spans="1:8" x14ac:dyDescent="0.35">
      <c r="B23" s="1" t="s">
        <v>16</v>
      </c>
      <c r="F23" s="3">
        <v>14653633.810000001</v>
      </c>
      <c r="H23" s="3">
        <v>15119186.880000001</v>
      </c>
    </row>
    <row r="24" spans="1:8" x14ac:dyDescent="0.35">
      <c r="B24" s="1" t="s">
        <v>15</v>
      </c>
      <c r="E24" s="2">
        <v>9</v>
      </c>
      <c r="F24" s="30">
        <v>13359359.33</v>
      </c>
      <c r="H24" s="3">
        <v>12343074.439999999</v>
      </c>
    </row>
    <row r="25" spans="1:8" x14ac:dyDescent="0.35">
      <c r="A25" s="8"/>
      <c r="B25" s="8" t="s">
        <v>17</v>
      </c>
      <c r="C25" s="8"/>
      <c r="F25" s="30">
        <f>SUM(F23:F24)</f>
        <v>28012993.140000001</v>
      </c>
      <c r="H25" s="30">
        <f>SUM(H23:H24)</f>
        <v>27462261.32</v>
      </c>
    </row>
    <row r="26" spans="1:8" ht="21.75" thickBot="1" x14ac:dyDescent="0.4">
      <c r="A26" s="8" t="s">
        <v>18</v>
      </c>
      <c r="B26" s="8"/>
      <c r="C26" s="8"/>
      <c r="F26" s="14">
        <f>F21+F25</f>
        <v>31673784.550000001</v>
      </c>
      <c r="H26" s="14">
        <f>H21+H25</f>
        <v>32066000.219999999</v>
      </c>
    </row>
    <row r="27" spans="1:8" ht="15" customHeight="1" thickTop="1" x14ac:dyDescent="0.35">
      <c r="A27" s="8"/>
      <c r="B27" s="8"/>
      <c r="C27" s="8"/>
    </row>
    <row r="28" spans="1:8" x14ac:dyDescent="0.35">
      <c r="A28" s="8" t="s">
        <v>19</v>
      </c>
      <c r="B28" s="8"/>
      <c r="C28" s="8"/>
    </row>
    <row r="30" spans="1:8" x14ac:dyDescent="0.35">
      <c r="A30" s="60"/>
      <c r="B30" s="2"/>
      <c r="C30" s="61"/>
      <c r="D30" s="61"/>
    </row>
    <row r="31" spans="1:8" x14ac:dyDescent="0.35">
      <c r="A31" s="93" t="s">
        <v>219</v>
      </c>
      <c r="B31" s="40"/>
      <c r="C31" s="61"/>
      <c r="D31" s="40"/>
      <c r="F31" s="61"/>
      <c r="G31" s="2" t="s">
        <v>185</v>
      </c>
      <c r="H31" s="61"/>
    </row>
    <row r="32" spans="1:8" x14ac:dyDescent="0.35">
      <c r="A32" s="60" t="s">
        <v>218</v>
      </c>
      <c r="B32" s="40"/>
      <c r="C32" s="61"/>
      <c r="D32" s="40"/>
      <c r="F32" s="61"/>
      <c r="G32" s="2" t="s">
        <v>186</v>
      </c>
      <c r="H32" s="61"/>
    </row>
    <row r="33" spans="1:8" x14ac:dyDescent="0.35">
      <c r="A33" s="93" t="s">
        <v>201</v>
      </c>
      <c r="B33" s="40"/>
      <c r="C33" s="61"/>
      <c r="D33" s="40"/>
      <c r="F33" s="61"/>
      <c r="G33" s="40"/>
      <c r="H33" s="61"/>
    </row>
    <row r="34" spans="1:8" x14ac:dyDescent="0.35">
      <c r="A34" s="60"/>
      <c r="B34" s="2"/>
      <c r="C34" s="61"/>
      <c r="D34" s="61"/>
    </row>
    <row r="35" spans="1:8" x14ac:dyDescent="0.35">
      <c r="B35" s="2"/>
      <c r="C35" s="61"/>
      <c r="D35" s="61"/>
    </row>
    <row r="36" spans="1:8" x14ac:dyDescent="0.35">
      <c r="B36" s="41"/>
      <c r="C36" s="3"/>
      <c r="D36" s="3"/>
    </row>
    <row r="37" spans="1:8" x14ac:dyDescent="0.35">
      <c r="A37" s="40"/>
      <c r="B37" s="2"/>
      <c r="C37" s="61"/>
      <c r="D37" s="61"/>
    </row>
    <row r="38" spans="1:8" x14ac:dyDescent="0.35">
      <c r="A38" s="40"/>
      <c r="B38" s="2"/>
      <c r="C38" s="61"/>
      <c r="D38" s="61"/>
    </row>
  </sheetData>
  <mergeCells count="3">
    <mergeCell ref="A1:H1"/>
    <mergeCell ref="A2:H2"/>
    <mergeCell ref="A3:H3"/>
  </mergeCells>
  <pageMargins left="0.78740157480314965" right="0.39370078740157483" top="0.59055118110236227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="120" zoomScaleNormal="120" workbookViewId="0">
      <selection activeCell="B28" sqref="B28"/>
    </sheetView>
  </sheetViews>
  <sheetFormatPr defaultRowHeight="21" x14ac:dyDescent="0.35"/>
  <cols>
    <col min="1" max="1" width="40.625" style="1" customWidth="1"/>
    <col min="2" max="2" width="16.875" style="41" customWidth="1"/>
    <col min="3" max="3" width="16.625" style="3" customWidth="1"/>
    <col min="4" max="4" width="16.25" style="3" customWidth="1"/>
    <col min="5" max="16384" width="9" style="1"/>
  </cols>
  <sheetData>
    <row r="1" spans="1:4" s="39" customFormat="1" x14ac:dyDescent="0.2">
      <c r="A1" s="236" t="s">
        <v>59</v>
      </c>
      <c r="B1" s="236"/>
      <c r="C1" s="236"/>
      <c r="D1" s="236"/>
    </row>
    <row r="2" spans="1:4" s="40" customFormat="1" x14ac:dyDescent="0.2">
      <c r="A2" s="237" t="s">
        <v>187</v>
      </c>
      <c r="B2" s="237"/>
      <c r="C2" s="237"/>
      <c r="D2" s="237"/>
    </row>
    <row r="3" spans="1:4" s="40" customFormat="1" x14ac:dyDescent="0.2">
      <c r="A3" s="237" t="s">
        <v>200</v>
      </c>
      <c r="B3" s="237"/>
      <c r="C3" s="237"/>
      <c r="D3" s="237"/>
    </row>
    <row r="5" spans="1:4" s="40" customFormat="1" ht="24.95" customHeight="1" x14ac:dyDescent="0.2">
      <c r="A5" s="42" t="s">
        <v>163</v>
      </c>
      <c r="B5" s="43" t="s">
        <v>149</v>
      </c>
      <c r="C5" s="44" t="s">
        <v>164</v>
      </c>
      <c r="D5" s="45" t="s">
        <v>165</v>
      </c>
    </row>
    <row r="6" spans="1:4" s="4" customFormat="1" ht="24.95" customHeight="1" x14ac:dyDescent="0.3">
      <c r="A6" s="46" t="s">
        <v>166</v>
      </c>
      <c r="B6" s="47">
        <v>11012001</v>
      </c>
      <c r="C6" s="48">
        <v>13745541.699999999</v>
      </c>
      <c r="D6" s="49"/>
    </row>
    <row r="7" spans="1:4" s="4" customFormat="1" ht="24.95" customHeight="1" x14ac:dyDescent="0.3">
      <c r="A7" s="46" t="s">
        <v>167</v>
      </c>
      <c r="B7" s="47">
        <v>11012001</v>
      </c>
      <c r="C7" s="48">
        <v>320400.17</v>
      </c>
      <c r="D7" s="49"/>
    </row>
    <row r="8" spans="1:4" s="4" customFormat="1" ht="24.95" customHeight="1" x14ac:dyDescent="0.3">
      <c r="A8" s="46" t="s">
        <v>168</v>
      </c>
      <c r="B8" s="47">
        <v>11012001</v>
      </c>
      <c r="C8" s="48">
        <v>800.18</v>
      </c>
      <c r="D8" s="49"/>
    </row>
    <row r="9" spans="1:4" s="4" customFormat="1" ht="24.95" customHeight="1" x14ac:dyDescent="0.3">
      <c r="A9" s="46" t="s">
        <v>169</v>
      </c>
      <c r="B9" s="47">
        <v>11012002</v>
      </c>
      <c r="C9" s="48">
        <v>2270970.0699999998</v>
      </c>
      <c r="D9" s="49"/>
    </row>
    <row r="10" spans="1:4" s="4" customFormat="1" ht="24.95" customHeight="1" x14ac:dyDescent="0.3">
      <c r="A10" s="46" t="s">
        <v>170</v>
      </c>
      <c r="B10" s="47">
        <v>11012002</v>
      </c>
      <c r="C10" s="48">
        <v>15181222.07</v>
      </c>
      <c r="D10" s="49"/>
    </row>
    <row r="11" spans="1:4" s="4" customFormat="1" ht="24.95" customHeight="1" x14ac:dyDescent="0.3">
      <c r="A11" s="46" t="s">
        <v>171</v>
      </c>
      <c r="B11" s="47">
        <v>11043001</v>
      </c>
      <c r="C11" s="48">
        <v>96134</v>
      </c>
      <c r="D11" s="49"/>
    </row>
    <row r="12" spans="1:4" s="4" customFormat="1" ht="24.95" customHeight="1" x14ac:dyDescent="0.3">
      <c r="A12" s="46" t="s">
        <v>172</v>
      </c>
      <c r="B12" s="47">
        <v>11043002</v>
      </c>
      <c r="C12" s="48">
        <v>27347.03</v>
      </c>
      <c r="D12" s="49"/>
    </row>
    <row r="13" spans="1:4" s="4" customFormat="1" ht="24.95" customHeight="1" x14ac:dyDescent="0.3">
      <c r="A13" s="46" t="s">
        <v>188</v>
      </c>
      <c r="B13" s="47">
        <v>11044000</v>
      </c>
      <c r="C13" s="48">
        <v>4575</v>
      </c>
      <c r="D13" s="49"/>
    </row>
    <row r="14" spans="1:4" s="4" customFormat="1" ht="24.95" customHeight="1" x14ac:dyDescent="0.3">
      <c r="A14" s="46" t="s">
        <v>174</v>
      </c>
      <c r="B14" s="47">
        <v>11044000</v>
      </c>
      <c r="C14" s="48">
        <v>19010</v>
      </c>
      <c r="D14" s="49"/>
    </row>
    <row r="15" spans="1:4" s="4" customFormat="1" ht="24.95" customHeight="1" x14ac:dyDescent="0.3">
      <c r="A15" s="46" t="s">
        <v>175</v>
      </c>
      <c r="B15" s="47">
        <v>11045000</v>
      </c>
      <c r="C15" s="48">
        <v>400000</v>
      </c>
      <c r="D15" s="49"/>
    </row>
    <row r="16" spans="1:4" s="4" customFormat="1" ht="24.95" customHeight="1" x14ac:dyDescent="0.3">
      <c r="A16" s="46" t="s">
        <v>206</v>
      </c>
      <c r="B16" s="47">
        <v>21010000</v>
      </c>
      <c r="C16" s="48"/>
      <c r="D16" s="49">
        <v>3125442.16</v>
      </c>
    </row>
    <row r="17" spans="1:4" s="4" customFormat="1" ht="24.95" customHeight="1" x14ac:dyDescent="0.3">
      <c r="A17" s="46" t="s">
        <v>207</v>
      </c>
      <c r="B17" s="47">
        <v>21040000</v>
      </c>
      <c r="C17" s="48"/>
      <c r="D17" s="49">
        <v>1478296.74</v>
      </c>
    </row>
    <row r="18" spans="1:4" s="4" customFormat="1" ht="24.95" customHeight="1" x14ac:dyDescent="0.3">
      <c r="A18" s="46" t="s">
        <v>15</v>
      </c>
      <c r="B18" s="47">
        <v>31000000</v>
      </c>
      <c r="C18" s="48"/>
      <c r="D18" s="49">
        <v>12343074.439999999</v>
      </c>
    </row>
    <row r="19" spans="1:4" s="4" customFormat="1" ht="24.95" customHeight="1" x14ac:dyDescent="0.3">
      <c r="A19" s="46" t="s">
        <v>16</v>
      </c>
      <c r="B19" s="47">
        <v>32000000</v>
      </c>
      <c r="C19" s="48"/>
      <c r="D19" s="49">
        <v>15119186.880000001</v>
      </c>
    </row>
    <row r="20" spans="1:4" s="4" customFormat="1" ht="24.95" customHeight="1" x14ac:dyDescent="0.3">
      <c r="A20" s="51"/>
      <c r="B20" s="52"/>
      <c r="C20" s="53">
        <f>SUM(C6:C19)</f>
        <v>32066000.219999999</v>
      </c>
      <c r="D20" s="53">
        <f>SUM(D16:D19)</f>
        <v>32066000.219999999</v>
      </c>
    </row>
    <row r="21" spans="1:4" s="4" customFormat="1" ht="21" customHeight="1" x14ac:dyDescent="0.3">
      <c r="A21" s="54"/>
      <c r="B21" s="55"/>
      <c r="C21" s="56"/>
      <c r="D21" s="56"/>
    </row>
    <row r="22" spans="1:4" s="4" customFormat="1" ht="21" customHeight="1" x14ac:dyDescent="0.3">
      <c r="A22" s="54"/>
      <c r="B22" s="55"/>
      <c r="C22" s="56"/>
      <c r="D22" s="56"/>
    </row>
    <row r="23" spans="1:4" s="4" customFormat="1" ht="21" customHeight="1" x14ac:dyDescent="0.3">
      <c r="A23" s="54"/>
      <c r="B23" s="55"/>
      <c r="C23" s="56"/>
      <c r="D23" s="56"/>
    </row>
    <row r="24" spans="1:4" s="4" customFormat="1" ht="21" customHeight="1" x14ac:dyDescent="0.3">
      <c r="A24" s="57"/>
      <c r="B24" s="5"/>
      <c r="C24" s="58"/>
      <c r="D24" s="58"/>
    </row>
    <row r="25" spans="1:4" s="4" customFormat="1" ht="21" customHeight="1" x14ac:dyDescent="0.3">
      <c r="A25" s="71" t="s">
        <v>215</v>
      </c>
      <c r="B25" s="59"/>
      <c r="C25" s="238" t="s">
        <v>214</v>
      </c>
      <c r="D25" s="238"/>
    </row>
    <row r="26" spans="1:4" s="4" customFormat="1" ht="21" customHeight="1" x14ac:dyDescent="0.3">
      <c r="A26" s="58" t="s">
        <v>216</v>
      </c>
      <c r="B26" s="59"/>
      <c r="C26" s="238" t="s">
        <v>186</v>
      </c>
      <c r="D26" s="238"/>
    </row>
    <row r="27" spans="1:4" s="4" customFormat="1" ht="21" customHeight="1" x14ac:dyDescent="0.3">
      <c r="A27" s="59" t="s">
        <v>217</v>
      </c>
      <c r="B27" s="59"/>
      <c r="C27" s="58"/>
      <c r="D27" s="58"/>
    </row>
    <row r="28" spans="1:4" s="4" customFormat="1" ht="21" customHeight="1" x14ac:dyDescent="0.3">
      <c r="A28" s="57"/>
      <c r="B28" s="5"/>
      <c r="C28" s="58"/>
      <c r="D28" s="58"/>
    </row>
    <row r="29" spans="1:4" s="4" customFormat="1" ht="21" customHeight="1" x14ac:dyDescent="0.3">
      <c r="A29" s="57"/>
      <c r="B29" s="5"/>
      <c r="C29" s="58"/>
      <c r="D29" s="58"/>
    </row>
    <row r="30" spans="1:4" s="4" customFormat="1" ht="21" customHeight="1" x14ac:dyDescent="0.3">
      <c r="A30" s="59"/>
      <c r="B30" s="5"/>
      <c r="C30" s="58"/>
      <c r="D30" s="58"/>
    </row>
    <row r="31" spans="1:4" s="4" customFormat="1" ht="21" customHeight="1" x14ac:dyDescent="0.3">
      <c r="B31" s="34"/>
      <c r="C31" s="6"/>
      <c r="D31" s="6"/>
    </row>
    <row r="32" spans="1:4" s="4" customFormat="1" ht="21" customHeight="1" x14ac:dyDescent="0.3">
      <c r="A32" s="59"/>
      <c r="B32" s="5"/>
      <c r="C32" s="58"/>
      <c r="D32" s="58"/>
    </row>
    <row r="33" spans="1:4" s="4" customFormat="1" ht="21" customHeight="1" x14ac:dyDescent="0.3">
      <c r="A33" s="59"/>
      <c r="B33" s="5"/>
      <c r="C33" s="58"/>
      <c r="D33" s="58"/>
    </row>
    <row r="34" spans="1:4" s="4" customFormat="1" ht="21" customHeight="1" x14ac:dyDescent="0.3">
      <c r="B34" s="34"/>
      <c r="C34" s="6"/>
      <c r="D34" s="6"/>
    </row>
    <row r="35" spans="1:4" s="4" customFormat="1" ht="18.75" x14ac:dyDescent="0.3">
      <c r="B35" s="34"/>
      <c r="C35" s="6"/>
      <c r="D35" s="6"/>
    </row>
    <row r="36" spans="1:4" s="59" customFormat="1" ht="18.75" x14ac:dyDescent="0.3">
      <c r="A36" s="4"/>
      <c r="B36" s="34"/>
      <c r="C36" s="6"/>
      <c r="D36" s="6"/>
    </row>
    <row r="37" spans="1:4" s="4" customFormat="1" ht="18.75" x14ac:dyDescent="0.3">
      <c r="B37" s="34"/>
      <c r="C37" s="6"/>
      <c r="D37" s="6"/>
    </row>
    <row r="38" spans="1:4" s="59" customFormat="1" ht="18.75" x14ac:dyDescent="0.3">
      <c r="A38" s="4"/>
      <c r="B38" s="34"/>
      <c r="C38" s="6"/>
      <c r="D38" s="6"/>
    </row>
    <row r="39" spans="1:4" s="59" customFormat="1" ht="18.75" x14ac:dyDescent="0.3">
      <c r="A39" s="4"/>
      <c r="B39" s="34"/>
      <c r="C39" s="6"/>
      <c r="D39" s="6"/>
    </row>
    <row r="40" spans="1:4" s="59" customFormat="1" ht="18.75" x14ac:dyDescent="0.3">
      <c r="A40" s="4"/>
      <c r="B40" s="34"/>
      <c r="C40" s="6"/>
      <c r="D40" s="6"/>
    </row>
    <row r="41" spans="1:4" s="59" customFormat="1" ht="18.75" x14ac:dyDescent="0.3">
      <c r="A41" s="4"/>
      <c r="B41" s="34"/>
      <c r="C41" s="6"/>
      <c r="D41" s="6"/>
    </row>
    <row r="42" spans="1:4" s="4" customFormat="1" ht="18.75" x14ac:dyDescent="0.3">
      <c r="B42" s="34"/>
      <c r="C42" s="6"/>
      <c r="D42" s="6"/>
    </row>
    <row r="43" spans="1:4" s="59" customFormat="1" ht="18.75" x14ac:dyDescent="0.3">
      <c r="A43" s="4"/>
      <c r="B43" s="34"/>
      <c r="C43" s="6"/>
      <c r="D43" s="6"/>
    </row>
    <row r="44" spans="1:4" s="59" customFormat="1" ht="18.75" x14ac:dyDescent="0.3">
      <c r="A44" s="4"/>
      <c r="B44" s="34"/>
      <c r="C44" s="6"/>
      <c r="D44" s="6"/>
    </row>
    <row r="45" spans="1:4" s="4" customFormat="1" ht="18.75" x14ac:dyDescent="0.3">
      <c r="B45" s="34"/>
      <c r="C45" s="6"/>
      <c r="D45" s="6"/>
    </row>
    <row r="46" spans="1:4" s="4" customFormat="1" ht="18.75" x14ac:dyDescent="0.3">
      <c r="B46" s="34"/>
      <c r="C46" s="6"/>
      <c r="D46" s="6"/>
    </row>
    <row r="47" spans="1:4" s="4" customFormat="1" ht="18.75" x14ac:dyDescent="0.3">
      <c r="B47" s="34"/>
      <c r="C47" s="6"/>
      <c r="D47" s="6"/>
    </row>
    <row r="48" spans="1:4" s="4" customFormat="1" ht="18.75" x14ac:dyDescent="0.3">
      <c r="B48" s="34"/>
      <c r="C48" s="6"/>
      <c r="D48" s="6"/>
    </row>
    <row r="49" spans="2:4" s="4" customFormat="1" ht="18.75" x14ac:dyDescent="0.3">
      <c r="B49" s="34"/>
      <c r="C49" s="6"/>
      <c r="D49" s="6"/>
    </row>
    <row r="50" spans="2:4" s="4" customFormat="1" ht="18.75" x14ac:dyDescent="0.3">
      <c r="B50" s="34"/>
      <c r="C50" s="6"/>
      <c r="D50" s="6"/>
    </row>
    <row r="51" spans="2:4" s="4" customFormat="1" ht="18.75" x14ac:dyDescent="0.3">
      <c r="B51" s="34"/>
      <c r="C51" s="6"/>
      <c r="D51" s="6"/>
    </row>
    <row r="52" spans="2:4" s="4" customFormat="1" ht="18.75" x14ac:dyDescent="0.3">
      <c r="B52" s="34"/>
      <c r="C52" s="6"/>
      <c r="D52" s="6"/>
    </row>
    <row r="53" spans="2:4" s="4" customFormat="1" ht="18.75" x14ac:dyDescent="0.3">
      <c r="B53" s="34"/>
      <c r="C53" s="6"/>
      <c r="D53" s="6"/>
    </row>
    <row r="54" spans="2:4" s="4" customFormat="1" ht="18.75" x14ac:dyDescent="0.3">
      <c r="B54" s="34"/>
      <c r="C54" s="6"/>
      <c r="D54" s="6"/>
    </row>
    <row r="55" spans="2:4" s="4" customFormat="1" ht="18.75" x14ac:dyDescent="0.3">
      <c r="B55" s="34"/>
      <c r="C55" s="6"/>
      <c r="D55" s="6"/>
    </row>
    <row r="56" spans="2:4" s="4" customFormat="1" ht="18.75" x14ac:dyDescent="0.3">
      <c r="B56" s="34"/>
      <c r="C56" s="6"/>
      <c r="D56" s="6"/>
    </row>
    <row r="57" spans="2:4" s="4" customFormat="1" ht="18.75" x14ac:dyDescent="0.3">
      <c r="B57" s="34"/>
      <c r="C57" s="6"/>
      <c r="D57" s="6"/>
    </row>
    <row r="58" spans="2:4" s="4" customFormat="1" ht="18.75" x14ac:dyDescent="0.3">
      <c r="B58" s="34"/>
      <c r="C58" s="6"/>
      <c r="D58" s="6"/>
    </row>
    <row r="59" spans="2:4" s="4" customFormat="1" ht="18.75" x14ac:dyDescent="0.3">
      <c r="B59" s="34"/>
      <c r="C59" s="6"/>
      <c r="D59" s="6"/>
    </row>
    <row r="60" spans="2:4" s="4" customFormat="1" ht="18.75" x14ac:dyDescent="0.3">
      <c r="B60" s="34"/>
      <c r="C60" s="6"/>
      <c r="D60" s="6"/>
    </row>
    <row r="61" spans="2:4" s="4" customFormat="1" ht="18.75" x14ac:dyDescent="0.3">
      <c r="B61" s="34"/>
      <c r="C61" s="6"/>
      <c r="D61" s="6"/>
    </row>
    <row r="62" spans="2:4" s="4" customFormat="1" ht="18.75" x14ac:dyDescent="0.3">
      <c r="B62" s="34"/>
      <c r="C62" s="6"/>
      <c r="D62" s="6"/>
    </row>
    <row r="63" spans="2:4" s="4" customFormat="1" ht="18.75" x14ac:dyDescent="0.3">
      <c r="B63" s="34"/>
      <c r="C63" s="6"/>
      <c r="D63" s="6"/>
    </row>
    <row r="64" spans="2:4" s="4" customFormat="1" ht="18.75" x14ac:dyDescent="0.3">
      <c r="B64" s="34"/>
      <c r="C64" s="6"/>
      <c r="D64" s="6"/>
    </row>
    <row r="65" spans="2:4" s="4" customFormat="1" ht="18.75" x14ac:dyDescent="0.3">
      <c r="B65" s="34"/>
      <c r="C65" s="6"/>
      <c r="D65" s="6"/>
    </row>
    <row r="66" spans="2:4" s="4" customFormat="1" ht="18.75" x14ac:dyDescent="0.3">
      <c r="B66" s="34"/>
      <c r="C66" s="6"/>
      <c r="D66" s="6"/>
    </row>
    <row r="67" spans="2:4" s="4" customFormat="1" ht="18.75" x14ac:dyDescent="0.3">
      <c r="B67" s="34"/>
      <c r="C67" s="6"/>
      <c r="D67" s="6"/>
    </row>
    <row r="68" spans="2:4" s="4" customFormat="1" ht="18.75" x14ac:dyDescent="0.3">
      <c r="B68" s="34"/>
      <c r="C68" s="6"/>
      <c r="D68" s="6"/>
    </row>
    <row r="69" spans="2:4" s="4" customFormat="1" ht="18.75" x14ac:dyDescent="0.3">
      <c r="B69" s="34"/>
      <c r="C69" s="6"/>
      <c r="D69" s="6"/>
    </row>
    <row r="70" spans="2:4" s="4" customFormat="1" ht="18.75" x14ac:dyDescent="0.3">
      <c r="B70" s="34"/>
      <c r="C70" s="6"/>
      <c r="D70" s="6"/>
    </row>
    <row r="71" spans="2:4" s="4" customFormat="1" ht="18.75" x14ac:dyDescent="0.3">
      <c r="B71" s="34"/>
      <c r="C71" s="6"/>
      <c r="D71" s="6"/>
    </row>
    <row r="72" spans="2:4" s="4" customFormat="1" ht="18.75" x14ac:dyDescent="0.3">
      <c r="B72" s="34"/>
      <c r="C72" s="6"/>
      <c r="D72" s="6"/>
    </row>
    <row r="73" spans="2:4" s="4" customFormat="1" ht="18.75" x14ac:dyDescent="0.3">
      <c r="B73" s="34"/>
      <c r="C73" s="6"/>
      <c r="D73" s="6"/>
    </row>
    <row r="74" spans="2:4" s="4" customFormat="1" ht="18.75" x14ac:dyDescent="0.3">
      <c r="B74" s="34"/>
      <c r="C74" s="6"/>
      <c r="D74" s="6"/>
    </row>
    <row r="75" spans="2:4" s="4" customFormat="1" ht="18.75" x14ac:dyDescent="0.3">
      <c r="B75" s="34"/>
      <c r="C75" s="6"/>
      <c r="D75" s="6"/>
    </row>
    <row r="76" spans="2:4" s="4" customFormat="1" ht="18.75" x14ac:dyDescent="0.3">
      <c r="B76" s="34"/>
      <c r="C76" s="6"/>
      <c r="D76" s="6"/>
    </row>
    <row r="77" spans="2:4" s="4" customFormat="1" ht="18.75" x14ac:dyDescent="0.3">
      <c r="B77" s="34"/>
      <c r="C77" s="6"/>
      <c r="D77" s="6"/>
    </row>
    <row r="78" spans="2:4" s="4" customFormat="1" ht="18.75" x14ac:dyDescent="0.3">
      <c r="B78" s="34"/>
      <c r="C78" s="6"/>
      <c r="D78" s="6"/>
    </row>
    <row r="79" spans="2:4" s="4" customFormat="1" ht="18.75" x14ac:dyDescent="0.3">
      <c r="B79" s="34"/>
      <c r="C79" s="6"/>
      <c r="D79" s="6"/>
    </row>
    <row r="80" spans="2:4" s="4" customFormat="1" ht="18.75" x14ac:dyDescent="0.3">
      <c r="B80" s="34"/>
      <c r="C80" s="6"/>
      <c r="D80" s="6"/>
    </row>
    <row r="81" spans="1:4" s="4" customFormat="1" ht="18.75" x14ac:dyDescent="0.3">
      <c r="B81" s="34"/>
      <c r="C81" s="6"/>
      <c r="D81" s="6"/>
    </row>
    <row r="82" spans="1:4" s="4" customFormat="1" ht="18.75" x14ac:dyDescent="0.3">
      <c r="B82" s="34"/>
      <c r="C82" s="6"/>
      <c r="D82" s="6"/>
    </row>
    <row r="83" spans="1:4" s="4" customFormat="1" ht="18.75" x14ac:dyDescent="0.3">
      <c r="B83" s="34"/>
      <c r="C83" s="6"/>
      <c r="D83" s="6"/>
    </row>
    <row r="84" spans="1:4" s="4" customFormat="1" ht="18.75" x14ac:dyDescent="0.3">
      <c r="B84" s="34"/>
      <c r="C84" s="6"/>
      <c r="D84" s="6"/>
    </row>
    <row r="85" spans="1:4" s="4" customFormat="1" ht="18.75" x14ac:dyDescent="0.3">
      <c r="B85" s="34"/>
      <c r="C85" s="6"/>
      <c r="D85" s="6"/>
    </row>
    <row r="86" spans="1:4" s="4" customFormat="1" ht="18.75" x14ac:dyDescent="0.3">
      <c r="B86" s="34"/>
      <c r="C86" s="6"/>
      <c r="D86" s="6"/>
    </row>
    <row r="87" spans="1:4" s="4" customFormat="1" ht="18.75" x14ac:dyDescent="0.3">
      <c r="B87" s="34"/>
      <c r="C87" s="6"/>
      <c r="D87" s="6"/>
    </row>
    <row r="88" spans="1:4" s="4" customFormat="1" ht="18.75" x14ac:dyDescent="0.3">
      <c r="B88" s="34"/>
      <c r="C88" s="6"/>
      <c r="D88" s="6"/>
    </row>
    <row r="89" spans="1:4" s="4" customFormat="1" ht="18.75" x14ac:dyDescent="0.3">
      <c r="B89" s="34"/>
      <c r="C89" s="6"/>
      <c r="D89" s="6"/>
    </row>
    <row r="90" spans="1:4" s="4" customFormat="1" ht="18.75" x14ac:dyDescent="0.3">
      <c r="B90" s="34"/>
      <c r="C90" s="6"/>
      <c r="D90" s="6"/>
    </row>
    <row r="91" spans="1:4" s="4" customFormat="1" ht="18.75" x14ac:dyDescent="0.3">
      <c r="B91" s="34"/>
      <c r="C91" s="6"/>
      <c r="D91" s="6"/>
    </row>
    <row r="92" spans="1:4" s="4" customFormat="1" ht="18.75" x14ac:dyDescent="0.3">
      <c r="B92" s="34"/>
      <c r="C92" s="6"/>
      <c r="D92" s="6"/>
    </row>
    <row r="93" spans="1:4" s="4" customFormat="1" ht="18.75" x14ac:dyDescent="0.3">
      <c r="B93" s="34"/>
      <c r="C93" s="6"/>
      <c r="D93" s="6"/>
    </row>
    <row r="94" spans="1:4" s="4" customFormat="1" ht="18.75" x14ac:dyDescent="0.3">
      <c r="B94" s="34"/>
      <c r="C94" s="6"/>
      <c r="D94" s="6"/>
    </row>
    <row r="95" spans="1:4" s="4" customFormat="1" ht="18.75" x14ac:dyDescent="0.3">
      <c r="B95" s="34"/>
      <c r="C95" s="6"/>
      <c r="D95" s="6"/>
    </row>
    <row r="96" spans="1:4" s="4" customFormat="1" x14ac:dyDescent="0.35">
      <c r="A96" s="1"/>
      <c r="B96" s="41"/>
      <c r="C96" s="3"/>
      <c r="D96" s="3"/>
    </row>
    <row r="97" spans="1:4" s="4" customFormat="1" x14ac:dyDescent="0.35">
      <c r="A97" s="1"/>
      <c r="B97" s="41"/>
      <c r="C97" s="3"/>
      <c r="D97" s="3"/>
    </row>
    <row r="98" spans="1:4" s="4" customFormat="1" x14ac:dyDescent="0.35">
      <c r="A98" s="1"/>
      <c r="B98" s="41"/>
      <c r="C98" s="3"/>
      <c r="D98" s="3"/>
    </row>
    <row r="99" spans="1:4" s="4" customFormat="1" x14ac:dyDescent="0.35">
      <c r="A99" s="1"/>
      <c r="B99" s="41"/>
      <c r="C99" s="3"/>
      <c r="D99" s="3"/>
    </row>
    <row r="100" spans="1:4" s="4" customFormat="1" x14ac:dyDescent="0.35">
      <c r="A100" s="1"/>
      <c r="B100" s="41"/>
      <c r="C100" s="3"/>
      <c r="D100" s="3"/>
    </row>
    <row r="101" spans="1:4" s="4" customFormat="1" x14ac:dyDescent="0.35">
      <c r="A101" s="1"/>
      <c r="B101" s="41"/>
      <c r="C101" s="3"/>
      <c r="D101" s="3"/>
    </row>
    <row r="102" spans="1:4" s="4" customFormat="1" x14ac:dyDescent="0.35">
      <c r="A102" s="1"/>
      <c r="B102" s="41"/>
      <c r="C102" s="3"/>
      <c r="D102" s="3"/>
    </row>
    <row r="103" spans="1:4" s="4" customFormat="1" x14ac:dyDescent="0.35">
      <c r="A103" s="1"/>
      <c r="B103" s="41"/>
      <c r="C103" s="3"/>
      <c r="D103" s="3"/>
    </row>
    <row r="104" spans="1:4" s="4" customFormat="1" x14ac:dyDescent="0.35">
      <c r="A104" s="1"/>
      <c r="B104" s="41"/>
      <c r="C104" s="3"/>
      <c r="D104" s="3"/>
    </row>
    <row r="105" spans="1:4" s="4" customFormat="1" x14ac:dyDescent="0.35">
      <c r="A105" s="1"/>
      <c r="B105" s="41"/>
      <c r="C105" s="3"/>
      <c r="D105" s="3"/>
    </row>
    <row r="106" spans="1:4" s="4" customFormat="1" x14ac:dyDescent="0.35">
      <c r="A106" s="1"/>
      <c r="B106" s="41"/>
      <c r="C106" s="3"/>
      <c r="D106" s="3"/>
    </row>
  </sheetData>
  <mergeCells count="5">
    <mergeCell ref="A1:D1"/>
    <mergeCell ref="A2:D2"/>
    <mergeCell ref="A3:D3"/>
    <mergeCell ref="C25:D25"/>
    <mergeCell ref="C26:D26"/>
  </mergeCells>
  <pageMargins left="0.39370078740157483" right="0.19685039370078741" top="0.59055118110236227" bottom="0.3937007874015748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8"/>
  <sheetViews>
    <sheetView topLeftCell="A28" workbookViewId="0">
      <selection activeCell="E24" sqref="E24"/>
    </sheetView>
  </sheetViews>
  <sheetFormatPr defaultRowHeight="21" x14ac:dyDescent="0.35"/>
  <cols>
    <col min="1" max="1" width="50.5" style="94" customWidth="1"/>
    <col min="2" max="2" width="11.625" style="94" customWidth="1"/>
    <col min="3" max="3" width="15.625" style="94" customWidth="1"/>
    <col min="4" max="4" width="13.125" style="94" hidden="1" customWidth="1"/>
    <col min="5" max="5" width="13.75" style="94" customWidth="1"/>
  </cols>
  <sheetData>
    <row r="1" spans="1:5" x14ac:dyDescent="0.35">
      <c r="D1" s="95"/>
      <c r="E1" s="95"/>
    </row>
    <row r="2" spans="1:5" x14ac:dyDescent="0.2">
      <c r="A2" s="239" t="s">
        <v>220</v>
      </c>
      <c r="B2" s="239"/>
      <c r="C2" s="239"/>
      <c r="D2" s="239"/>
      <c r="E2" s="239"/>
    </row>
    <row r="3" spans="1:5" x14ac:dyDescent="0.2">
      <c r="A3" s="239" t="s">
        <v>148</v>
      </c>
      <c r="B3" s="239"/>
      <c r="C3" s="239"/>
      <c r="D3" s="239"/>
      <c r="E3" s="239"/>
    </row>
    <row r="4" spans="1:5" x14ac:dyDescent="0.2">
      <c r="A4" s="239" t="s">
        <v>221</v>
      </c>
      <c r="B4" s="239"/>
      <c r="C4" s="239"/>
      <c r="D4" s="239"/>
      <c r="E4" s="239"/>
    </row>
    <row r="5" spans="1:5" ht="9.9499999999999993" customHeight="1" x14ac:dyDescent="0.35">
      <c r="A5" s="96"/>
      <c r="B5" s="96"/>
      <c r="C5" s="96"/>
      <c r="D5" s="96"/>
      <c r="E5" s="96"/>
    </row>
    <row r="6" spans="1:5" x14ac:dyDescent="0.2">
      <c r="A6" s="97"/>
      <c r="B6" s="97" t="s">
        <v>149</v>
      </c>
      <c r="C6" s="97" t="s">
        <v>150</v>
      </c>
      <c r="D6" s="97" t="s">
        <v>222</v>
      </c>
      <c r="E6" s="97" t="s">
        <v>247</v>
      </c>
    </row>
    <row r="7" spans="1:5" x14ac:dyDescent="0.35">
      <c r="A7" s="98" t="s">
        <v>152</v>
      </c>
      <c r="B7" s="99"/>
      <c r="C7" s="99"/>
      <c r="D7" s="99"/>
      <c r="E7" s="99"/>
    </row>
    <row r="8" spans="1:5" x14ac:dyDescent="0.35">
      <c r="A8" s="100" t="s">
        <v>153</v>
      </c>
      <c r="B8" s="101">
        <v>41100000</v>
      </c>
      <c r="C8" s="102"/>
      <c r="D8" s="102"/>
      <c r="E8" s="102"/>
    </row>
    <row r="9" spans="1:5" x14ac:dyDescent="0.35">
      <c r="A9" s="103" t="s">
        <v>223</v>
      </c>
      <c r="B9" s="104">
        <v>41100001</v>
      </c>
      <c r="C9" s="105">
        <v>1600000</v>
      </c>
      <c r="D9" s="105">
        <v>83313</v>
      </c>
      <c r="E9" s="105">
        <f>1450703.4+D9</f>
        <v>1534016.4</v>
      </c>
    </row>
    <row r="10" spans="1:5" x14ac:dyDescent="0.35">
      <c r="A10" s="103" t="s">
        <v>224</v>
      </c>
      <c r="B10" s="104">
        <v>41100002</v>
      </c>
      <c r="C10" s="105">
        <v>62000</v>
      </c>
      <c r="D10" s="105">
        <f>1694.56+88.11</f>
        <v>1782.6699999999998</v>
      </c>
      <c r="E10" s="105">
        <f>32231.35+D10</f>
        <v>34014.019999999997</v>
      </c>
    </row>
    <row r="11" spans="1:5" x14ac:dyDescent="0.35">
      <c r="A11" s="103" t="s">
        <v>225</v>
      </c>
      <c r="B11" s="104">
        <v>41100003</v>
      </c>
      <c r="C11" s="106">
        <v>24000</v>
      </c>
      <c r="D11" s="106">
        <v>0</v>
      </c>
      <c r="E11" s="105">
        <v>40189</v>
      </c>
    </row>
    <row r="12" spans="1:5" x14ac:dyDescent="0.35">
      <c r="A12" s="103"/>
      <c r="B12" s="104"/>
      <c r="C12" s="106"/>
      <c r="D12" s="106"/>
      <c r="E12" s="106"/>
    </row>
    <row r="13" spans="1:5" x14ac:dyDescent="0.35">
      <c r="A13" s="107" t="s">
        <v>24</v>
      </c>
      <c r="B13" s="104"/>
      <c r="C13" s="108">
        <f>SUM(C9:C12)</f>
        <v>1686000</v>
      </c>
      <c r="D13" s="108">
        <f>SUM(D9:D12)</f>
        <v>85095.67</v>
      </c>
      <c r="E13" s="108">
        <f>SUM(E9:E12)</f>
        <v>1608219.42</v>
      </c>
    </row>
    <row r="14" spans="1:5" x14ac:dyDescent="0.35">
      <c r="A14" s="100" t="s">
        <v>226</v>
      </c>
      <c r="B14" s="101">
        <v>41200000</v>
      </c>
      <c r="C14" s="109"/>
      <c r="D14" s="109"/>
      <c r="E14" s="109"/>
    </row>
    <row r="15" spans="1:5" x14ac:dyDescent="0.35">
      <c r="A15" s="103" t="s">
        <v>227</v>
      </c>
      <c r="B15" s="104">
        <v>41210004</v>
      </c>
      <c r="C15" s="110">
        <v>0</v>
      </c>
      <c r="D15" s="109">
        <v>0</v>
      </c>
      <c r="E15" s="109">
        <f>659.6+D15</f>
        <v>659.6</v>
      </c>
    </row>
    <row r="16" spans="1:5" x14ac:dyDescent="0.35">
      <c r="A16" s="103" t="s">
        <v>228</v>
      </c>
      <c r="B16" s="104">
        <v>41210007</v>
      </c>
      <c r="C16" s="110">
        <v>10000</v>
      </c>
      <c r="D16" s="109">
        <v>1589.4</v>
      </c>
      <c r="E16" s="109">
        <f>66640.05+D16</f>
        <v>68229.45</v>
      </c>
    </row>
    <row r="17" spans="1:5" x14ac:dyDescent="0.35">
      <c r="A17" s="111" t="s">
        <v>229</v>
      </c>
      <c r="B17" s="104">
        <v>41210008</v>
      </c>
      <c r="C17" s="110">
        <v>330000</v>
      </c>
      <c r="D17" s="109">
        <f>48200+13500</f>
        <v>61700</v>
      </c>
      <c r="E17" s="109">
        <f>273890+D17</f>
        <v>335590</v>
      </c>
    </row>
    <row r="18" spans="1:5" x14ac:dyDescent="0.35">
      <c r="A18" s="111" t="s">
        <v>230</v>
      </c>
      <c r="B18" s="104">
        <v>41210010</v>
      </c>
      <c r="C18" s="110">
        <v>1000</v>
      </c>
      <c r="D18" s="109">
        <v>0</v>
      </c>
      <c r="E18" s="109">
        <v>0</v>
      </c>
    </row>
    <row r="19" spans="1:5" x14ac:dyDescent="0.35">
      <c r="A19" s="111" t="s">
        <v>231</v>
      </c>
      <c r="B19" s="104">
        <v>41210029</v>
      </c>
      <c r="C19" s="110">
        <v>500</v>
      </c>
      <c r="D19" s="109">
        <v>50</v>
      </c>
      <c r="E19" s="109">
        <f>580+D19</f>
        <v>630</v>
      </c>
    </row>
    <row r="20" spans="1:5" x14ac:dyDescent="0.35">
      <c r="A20" s="111" t="s">
        <v>232</v>
      </c>
      <c r="B20" s="104">
        <v>41210012</v>
      </c>
      <c r="C20" s="110">
        <v>0</v>
      </c>
      <c r="D20" s="109">
        <v>0</v>
      </c>
      <c r="E20" s="109">
        <f>40+D20</f>
        <v>40</v>
      </c>
    </row>
    <row r="21" spans="1:5" x14ac:dyDescent="0.35">
      <c r="A21" s="111" t="s">
        <v>233</v>
      </c>
      <c r="B21" s="104">
        <v>41219999</v>
      </c>
      <c r="C21" s="110">
        <v>18000</v>
      </c>
      <c r="D21" s="109">
        <v>0</v>
      </c>
      <c r="E21" s="109">
        <f>4200+D21</f>
        <v>4200</v>
      </c>
    </row>
    <row r="22" spans="1:5" x14ac:dyDescent="0.35">
      <c r="A22" s="111" t="s">
        <v>234</v>
      </c>
      <c r="B22" s="104">
        <v>41220002</v>
      </c>
      <c r="C22" s="110">
        <v>8500</v>
      </c>
      <c r="D22" s="112">
        <v>0</v>
      </c>
      <c r="E22" s="112">
        <f>7700+D22</f>
        <v>7700</v>
      </c>
    </row>
    <row r="23" spans="1:5" x14ac:dyDescent="0.35">
      <c r="A23" s="111" t="s">
        <v>235</v>
      </c>
      <c r="B23" s="104">
        <v>41220010</v>
      </c>
      <c r="C23" s="110">
        <v>2000</v>
      </c>
      <c r="D23" s="109">
        <v>0</v>
      </c>
      <c r="E23" s="109">
        <v>0</v>
      </c>
    </row>
    <row r="24" spans="1:5" x14ac:dyDescent="0.35">
      <c r="A24" s="111" t="s">
        <v>236</v>
      </c>
      <c r="B24" s="104">
        <v>41229999</v>
      </c>
      <c r="C24" s="110">
        <v>1000</v>
      </c>
      <c r="D24" s="109">
        <v>0</v>
      </c>
      <c r="E24" s="109">
        <v>0</v>
      </c>
    </row>
    <row r="25" spans="1:5" x14ac:dyDescent="0.35">
      <c r="A25" s="111" t="s">
        <v>237</v>
      </c>
      <c r="B25" s="104">
        <v>41230003</v>
      </c>
      <c r="C25" s="110">
        <v>100000</v>
      </c>
      <c r="D25" s="109">
        <v>0</v>
      </c>
      <c r="E25" s="109">
        <f>80500+D25</f>
        <v>80500</v>
      </c>
    </row>
    <row r="26" spans="1:5" x14ac:dyDescent="0.35">
      <c r="A26" s="111" t="s">
        <v>238</v>
      </c>
      <c r="B26" s="104">
        <v>41230004</v>
      </c>
      <c r="C26" s="110">
        <v>2000</v>
      </c>
      <c r="D26" s="109">
        <v>0</v>
      </c>
      <c r="E26" s="109">
        <f>600+D26</f>
        <v>600</v>
      </c>
    </row>
    <row r="27" spans="1:5" x14ac:dyDescent="0.35">
      <c r="A27" s="111" t="s">
        <v>239</v>
      </c>
      <c r="B27" s="104">
        <v>41230006</v>
      </c>
      <c r="C27" s="110">
        <v>0</v>
      </c>
      <c r="D27" s="109">
        <v>0</v>
      </c>
      <c r="E27" s="109">
        <v>0</v>
      </c>
    </row>
    <row r="28" spans="1:5" x14ac:dyDescent="0.35">
      <c r="A28" s="111" t="s">
        <v>240</v>
      </c>
      <c r="B28" s="104">
        <v>41230007</v>
      </c>
      <c r="C28" s="110">
        <v>500</v>
      </c>
      <c r="D28" s="109">
        <v>60</v>
      </c>
      <c r="E28" s="109">
        <f>700+D28</f>
        <v>760</v>
      </c>
    </row>
    <row r="29" spans="1:5" x14ac:dyDescent="0.35">
      <c r="A29" s="111"/>
      <c r="B29" s="104"/>
      <c r="C29" s="113"/>
      <c r="D29" s="114"/>
      <c r="E29" s="114"/>
    </row>
    <row r="30" spans="1:5" x14ac:dyDescent="0.35">
      <c r="A30" s="107" t="s">
        <v>24</v>
      </c>
      <c r="B30" s="104"/>
      <c r="C30" s="108">
        <f>SUM(C16:C29)</f>
        <v>473500</v>
      </c>
      <c r="D30" s="108">
        <f>SUM(D15:D29)</f>
        <v>63399.4</v>
      </c>
      <c r="E30" s="108">
        <f>SUM(E15:E28)</f>
        <v>498909.05</v>
      </c>
    </row>
    <row r="31" spans="1:5" x14ac:dyDescent="0.35">
      <c r="A31" s="100" t="s">
        <v>154</v>
      </c>
      <c r="B31" s="101">
        <v>41300000</v>
      </c>
      <c r="C31" s="109"/>
      <c r="D31" s="109"/>
      <c r="E31" s="109"/>
    </row>
    <row r="32" spans="1:5" x14ac:dyDescent="0.35">
      <c r="A32" s="103" t="s">
        <v>241</v>
      </c>
      <c r="B32" s="104">
        <v>41300003</v>
      </c>
      <c r="C32" s="105">
        <v>300000</v>
      </c>
      <c r="D32" s="105">
        <v>656.35</v>
      </c>
      <c r="E32" s="105">
        <f>217756.01+59094.08+5140.02+D32</f>
        <v>282646.46000000002</v>
      </c>
    </row>
    <row r="33" spans="1:5" x14ac:dyDescent="0.35">
      <c r="A33" s="103"/>
      <c r="B33" s="104"/>
      <c r="C33" s="105"/>
      <c r="D33" s="105"/>
      <c r="E33" s="105"/>
    </row>
    <row r="34" spans="1:5" x14ac:dyDescent="0.35">
      <c r="A34" s="107" t="s">
        <v>24</v>
      </c>
      <c r="B34" s="104"/>
      <c r="C34" s="108">
        <f>SUM(C32:C33)</f>
        <v>300000</v>
      </c>
      <c r="D34" s="108">
        <f>SUM(D32:D33)</f>
        <v>656.35</v>
      </c>
      <c r="E34" s="108">
        <f>SUM(E32:E33)</f>
        <v>282646.46000000002</v>
      </c>
    </row>
    <row r="35" spans="1:5" x14ac:dyDescent="0.35">
      <c r="A35" s="100" t="s">
        <v>155</v>
      </c>
      <c r="B35" s="115">
        <v>41400000</v>
      </c>
      <c r="C35" s="116"/>
      <c r="D35" s="116"/>
      <c r="E35" s="116"/>
    </row>
    <row r="36" spans="1:5" x14ac:dyDescent="0.35">
      <c r="A36" s="117" t="s">
        <v>242</v>
      </c>
      <c r="B36" s="118">
        <v>41400006</v>
      </c>
      <c r="C36" s="105">
        <v>500000</v>
      </c>
      <c r="D36" s="105">
        <v>18805</v>
      </c>
      <c r="E36" s="105">
        <f>95180+10580+10720+D36</f>
        <v>135285</v>
      </c>
    </row>
    <row r="37" spans="1:5" x14ac:dyDescent="0.35">
      <c r="A37" s="117"/>
      <c r="B37" s="118"/>
      <c r="C37" s="114"/>
      <c r="D37" s="114"/>
      <c r="E37" s="114"/>
    </row>
    <row r="38" spans="1:5" x14ac:dyDescent="0.35">
      <c r="A38" s="119" t="s">
        <v>24</v>
      </c>
      <c r="B38" s="118"/>
      <c r="C38" s="108">
        <f>SUM(C36:C37)</f>
        <v>500000</v>
      </c>
      <c r="D38" s="108">
        <f>SUM(D36:D37)</f>
        <v>18805</v>
      </c>
      <c r="E38" s="108">
        <f>SUM(E36:E37)</f>
        <v>135285</v>
      </c>
    </row>
    <row r="39" spans="1:5" x14ac:dyDescent="0.2">
      <c r="A39" s="97"/>
      <c r="B39" s="97" t="s">
        <v>149</v>
      </c>
      <c r="C39" s="97" t="s">
        <v>150</v>
      </c>
      <c r="D39" s="97" t="s">
        <v>222</v>
      </c>
      <c r="E39" s="97" t="s">
        <v>247</v>
      </c>
    </row>
    <row r="40" spans="1:5" x14ac:dyDescent="0.35">
      <c r="A40" s="120" t="s">
        <v>156</v>
      </c>
      <c r="B40" s="115">
        <v>41500000</v>
      </c>
      <c r="C40" s="109"/>
      <c r="D40" s="109"/>
      <c r="E40" s="109"/>
    </row>
    <row r="41" spans="1:5" x14ac:dyDescent="0.35">
      <c r="A41" s="103" t="s">
        <v>243</v>
      </c>
      <c r="B41" s="104">
        <v>41500004</v>
      </c>
      <c r="C41" s="105">
        <v>80000</v>
      </c>
      <c r="D41" s="105">
        <v>0</v>
      </c>
      <c r="E41" s="105">
        <f>36000+3000+3000+2500</f>
        <v>44500</v>
      </c>
    </row>
    <row r="42" spans="1:5" x14ac:dyDescent="0.35">
      <c r="A42" s="103" t="s">
        <v>244</v>
      </c>
      <c r="B42" s="104">
        <v>41599999</v>
      </c>
      <c r="C42" s="106">
        <v>3000</v>
      </c>
      <c r="D42" s="106">
        <v>0</v>
      </c>
      <c r="E42" s="106">
        <f>10+500</f>
        <v>510</v>
      </c>
    </row>
    <row r="43" spans="1:5" x14ac:dyDescent="0.35">
      <c r="A43" s="119" t="s">
        <v>24</v>
      </c>
      <c r="B43" s="104"/>
      <c r="C43" s="108">
        <f>SUM(C41:C42)</f>
        <v>83000</v>
      </c>
      <c r="D43" s="121">
        <f>SUM(D41:D42)</f>
        <v>0</v>
      </c>
      <c r="E43" s="121">
        <f>SUM(E41:E42)</f>
        <v>45010</v>
      </c>
    </row>
    <row r="44" spans="1:5" x14ac:dyDescent="0.35">
      <c r="A44" s="120" t="s">
        <v>245</v>
      </c>
      <c r="B44" s="104"/>
      <c r="C44" s="109"/>
      <c r="D44" s="109"/>
      <c r="E44" s="109"/>
    </row>
    <row r="45" spans="1:5" x14ac:dyDescent="0.35">
      <c r="A45" s="103" t="s">
        <v>246</v>
      </c>
      <c r="B45" s="104"/>
      <c r="C45" s="114">
        <v>18000</v>
      </c>
      <c r="D45" s="114">
        <v>0</v>
      </c>
      <c r="E45" s="114">
        <v>0</v>
      </c>
    </row>
    <row r="46" spans="1:5" x14ac:dyDescent="0.35">
      <c r="A46" s="122" t="s">
        <v>24</v>
      </c>
      <c r="B46" s="104"/>
      <c r="C46" s="123">
        <f>SUM(C45)</f>
        <v>18000</v>
      </c>
      <c r="D46" s="108">
        <f>SUM(D45)</f>
        <v>0</v>
      </c>
      <c r="E46" s="108">
        <f>SUM(E45)</f>
        <v>0</v>
      </c>
    </row>
    <row r="47" spans="1:5" x14ac:dyDescent="0.35">
      <c r="A47" s="124" t="s">
        <v>248</v>
      </c>
      <c r="B47" s="125">
        <v>42000000</v>
      </c>
      <c r="C47" s="126"/>
      <c r="D47" s="126"/>
      <c r="E47" s="126"/>
    </row>
    <row r="48" spans="1:5" x14ac:dyDescent="0.35">
      <c r="A48" s="100" t="s">
        <v>157</v>
      </c>
      <c r="B48" s="127">
        <v>42100000</v>
      </c>
      <c r="C48" s="102"/>
      <c r="D48" s="102"/>
      <c r="E48" s="102"/>
    </row>
    <row r="49" spans="1:5" x14ac:dyDescent="0.35">
      <c r="A49" s="128" t="s">
        <v>249</v>
      </c>
      <c r="B49" s="129">
        <v>42100001</v>
      </c>
      <c r="C49" s="105">
        <v>400000</v>
      </c>
      <c r="D49" s="105">
        <v>87429.9</v>
      </c>
      <c r="E49" s="105">
        <f>970939.34+D49</f>
        <v>1058369.24</v>
      </c>
    </row>
    <row r="50" spans="1:5" x14ac:dyDescent="0.35">
      <c r="A50" s="103" t="s">
        <v>250</v>
      </c>
      <c r="B50" s="129">
        <v>42100002</v>
      </c>
      <c r="C50" s="105">
        <v>7500000</v>
      </c>
      <c r="D50" s="105">
        <v>1286217.6000000001</v>
      </c>
      <c r="E50" s="105">
        <f>5635941+D50</f>
        <v>6922158.5999999996</v>
      </c>
    </row>
    <row r="51" spans="1:5" x14ac:dyDescent="0.35">
      <c r="A51" s="103" t="s">
        <v>251</v>
      </c>
      <c r="B51" s="129">
        <v>42100004</v>
      </c>
      <c r="C51" s="105">
        <v>2000000</v>
      </c>
      <c r="D51" s="105">
        <v>321549.94</v>
      </c>
      <c r="E51" s="105">
        <f>1910248.94+D51</f>
        <v>2231798.88</v>
      </c>
    </row>
    <row r="52" spans="1:5" x14ac:dyDescent="0.35">
      <c r="A52" s="103" t="s">
        <v>252</v>
      </c>
      <c r="B52" s="129">
        <v>42100005</v>
      </c>
      <c r="C52" s="105">
        <v>0</v>
      </c>
      <c r="D52" s="105">
        <v>36615.72</v>
      </c>
      <c r="E52" s="105">
        <f>147548.4+D52</f>
        <v>184164.12</v>
      </c>
    </row>
    <row r="53" spans="1:5" x14ac:dyDescent="0.35">
      <c r="A53" s="103" t="s">
        <v>253</v>
      </c>
      <c r="B53" s="129">
        <v>42100006</v>
      </c>
      <c r="C53" s="105">
        <v>600000</v>
      </c>
      <c r="D53" s="105">
        <v>0</v>
      </c>
      <c r="E53" s="105">
        <v>0</v>
      </c>
    </row>
    <row r="54" spans="1:5" x14ac:dyDescent="0.35">
      <c r="A54" s="103" t="s">
        <v>254</v>
      </c>
      <c r="B54" s="129">
        <v>42100007</v>
      </c>
      <c r="C54" s="105">
        <v>1300000</v>
      </c>
      <c r="D54" s="105">
        <v>206445.36</v>
      </c>
      <c r="E54" s="105">
        <f>2129958.66+D54</f>
        <v>2336404.02</v>
      </c>
    </row>
    <row r="55" spans="1:5" x14ac:dyDescent="0.35">
      <c r="A55" s="130" t="s">
        <v>255</v>
      </c>
      <c r="B55" s="129">
        <v>42100011</v>
      </c>
      <c r="C55" s="105">
        <v>2000</v>
      </c>
      <c r="D55" s="105">
        <v>0</v>
      </c>
      <c r="E55" s="105">
        <v>3001</v>
      </c>
    </row>
    <row r="56" spans="1:5" x14ac:dyDescent="0.35">
      <c r="A56" s="130" t="s">
        <v>256</v>
      </c>
      <c r="B56" s="129">
        <v>42100012</v>
      </c>
      <c r="C56" s="105">
        <v>20000</v>
      </c>
      <c r="D56" s="105">
        <v>4306.55</v>
      </c>
      <c r="E56" s="105">
        <f>13435.91+D56</f>
        <v>17742.46</v>
      </c>
    </row>
    <row r="57" spans="1:5" x14ac:dyDescent="0.35">
      <c r="A57" s="103" t="s">
        <v>257</v>
      </c>
      <c r="B57" s="129">
        <v>42100013</v>
      </c>
      <c r="C57" s="105">
        <v>30000</v>
      </c>
      <c r="D57" s="105">
        <v>0</v>
      </c>
      <c r="E57" s="105">
        <v>21239.08</v>
      </c>
    </row>
    <row r="58" spans="1:5" x14ac:dyDescent="0.35">
      <c r="A58" s="103" t="s">
        <v>258</v>
      </c>
      <c r="B58" s="129">
        <v>42100015</v>
      </c>
      <c r="C58" s="105">
        <v>4000000</v>
      </c>
      <c r="D58" s="105">
        <v>212819</v>
      </c>
      <c r="E58" s="105">
        <f>2246391+D58</f>
        <v>2459210</v>
      </c>
    </row>
    <row r="59" spans="1:5" x14ac:dyDescent="0.35">
      <c r="A59" s="103" t="s">
        <v>259</v>
      </c>
      <c r="B59" s="129">
        <v>42100016</v>
      </c>
      <c r="C59" s="106">
        <v>100</v>
      </c>
      <c r="D59" s="106">
        <v>0</v>
      </c>
      <c r="E59" s="106">
        <v>0</v>
      </c>
    </row>
    <row r="60" spans="1:5" x14ac:dyDescent="0.35">
      <c r="A60" s="103" t="s">
        <v>260</v>
      </c>
      <c r="B60" s="129">
        <v>42100017</v>
      </c>
      <c r="C60" s="106">
        <v>1000</v>
      </c>
      <c r="D60" s="106">
        <v>500</v>
      </c>
      <c r="E60" s="106">
        <v>510</v>
      </c>
    </row>
    <row r="61" spans="1:5" x14ac:dyDescent="0.35">
      <c r="A61" s="107" t="s">
        <v>24</v>
      </c>
      <c r="B61" s="129"/>
      <c r="C61" s="132">
        <f>SUM(C49:C60)</f>
        <v>15853100</v>
      </c>
      <c r="D61" s="132">
        <f>SUM(D49:D60)</f>
        <v>2155884.0700000003</v>
      </c>
      <c r="E61" s="132">
        <f>SUM(E49:E60)</f>
        <v>15234597.399999999</v>
      </c>
    </row>
    <row r="62" spans="1:5" x14ac:dyDescent="0.35">
      <c r="A62" s="124" t="s">
        <v>158</v>
      </c>
      <c r="B62" s="125">
        <v>43000000</v>
      </c>
      <c r="C62" s="109"/>
      <c r="D62" s="109"/>
      <c r="E62" s="109"/>
    </row>
    <row r="63" spans="1:5" x14ac:dyDescent="0.35">
      <c r="A63" s="100" t="s">
        <v>159</v>
      </c>
      <c r="B63" s="127">
        <v>43100000</v>
      </c>
      <c r="C63" s="105"/>
      <c r="D63" s="105"/>
      <c r="E63" s="105"/>
    </row>
    <row r="64" spans="1:5" x14ac:dyDescent="0.35">
      <c r="A64" s="103" t="s">
        <v>261</v>
      </c>
      <c r="B64" s="129">
        <v>43100001</v>
      </c>
      <c r="C64" s="105">
        <v>0</v>
      </c>
      <c r="D64" s="105">
        <v>0</v>
      </c>
      <c r="E64" s="105">
        <f>0+D64</f>
        <v>0</v>
      </c>
    </row>
    <row r="65" spans="1:5" x14ac:dyDescent="0.35">
      <c r="A65" s="103" t="s">
        <v>262</v>
      </c>
      <c r="B65" s="129">
        <v>43100002</v>
      </c>
      <c r="C65" s="105">
        <v>10649521</v>
      </c>
      <c r="D65" s="105">
        <v>94400</v>
      </c>
      <c r="E65" s="105">
        <f>2861598+2488684+304281+9867+1537014+1523886+11884+D65</f>
        <v>8831614</v>
      </c>
    </row>
    <row r="66" spans="1:5" x14ac:dyDescent="0.35">
      <c r="A66" s="107" t="s">
        <v>24</v>
      </c>
      <c r="B66" s="129"/>
      <c r="C66" s="108">
        <f>SUM(C65:C65)</f>
        <v>10649521</v>
      </c>
      <c r="D66" s="108">
        <f>SUM(D65:D65)</f>
        <v>94400</v>
      </c>
      <c r="E66" s="108">
        <f>SUM(E65:E65)</f>
        <v>8831614</v>
      </c>
    </row>
    <row r="67" spans="1:5" x14ac:dyDescent="0.35">
      <c r="A67" s="133" t="s">
        <v>160</v>
      </c>
      <c r="B67" s="127">
        <v>44000000</v>
      </c>
      <c r="C67" s="134"/>
      <c r="D67" s="134"/>
      <c r="E67" s="134"/>
    </row>
    <row r="68" spans="1:5" x14ac:dyDescent="0.35">
      <c r="A68" s="100" t="s">
        <v>161</v>
      </c>
      <c r="B68" s="127">
        <v>44100000</v>
      </c>
      <c r="C68" s="105"/>
      <c r="D68" s="105"/>
      <c r="E68" s="105"/>
    </row>
    <row r="69" spans="1:5" x14ac:dyDescent="0.35">
      <c r="A69" s="103" t="s">
        <v>263</v>
      </c>
      <c r="B69" s="129">
        <v>44100001</v>
      </c>
      <c r="C69" s="135">
        <v>0</v>
      </c>
      <c r="D69" s="135">
        <v>0</v>
      </c>
      <c r="E69" s="135">
        <f>0+D69</f>
        <v>0</v>
      </c>
    </row>
    <row r="70" spans="1:5" x14ac:dyDescent="0.35">
      <c r="A70" s="103" t="s">
        <v>264</v>
      </c>
      <c r="B70" s="129">
        <v>44100002</v>
      </c>
      <c r="C70" s="135">
        <v>0</v>
      </c>
      <c r="D70" s="105">
        <v>0</v>
      </c>
      <c r="E70" s="105">
        <f>0+D70</f>
        <v>0</v>
      </c>
    </row>
    <row r="71" spans="1:5" x14ac:dyDescent="0.35">
      <c r="A71" s="136" t="s">
        <v>24</v>
      </c>
      <c r="B71" s="129"/>
      <c r="C71" s="137">
        <f>SUM(C69:C70)</f>
        <v>0</v>
      </c>
      <c r="D71" s="108">
        <f>SUM(D69:D70)</f>
        <v>0</v>
      </c>
      <c r="E71" s="108">
        <f>SUM(E69:E70)</f>
        <v>0</v>
      </c>
    </row>
    <row r="72" spans="1:5" x14ac:dyDescent="0.35">
      <c r="A72" s="138" t="s">
        <v>265</v>
      </c>
      <c r="B72" s="139"/>
      <c r="C72" s="140">
        <f>C13+C30+C34+C38+C43+C46+C61</f>
        <v>18913600</v>
      </c>
      <c r="D72" s="140">
        <f>D13+D30+D34+D38+D46+D61+D43</f>
        <v>2323840.4900000002</v>
      </c>
      <c r="E72" s="140">
        <f>E13+E30+E34+E38+E46+E61+E43</f>
        <v>17804667.329999998</v>
      </c>
    </row>
    <row r="73" spans="1:5" x14ac:dyDescent="0.35">
      <c r="A73" s="138" t="s">
        <v>266</v>
      </c>
      <c r="B73" s="138"/>
      <c r="C73" s="112">
        <f>C66</f>
        <v>10649521</v>
      </c>
      <c r="D73" s="112">
        <f>D66</f>
        <v>94400</v>
      </c>
      <c r="E73" s="112">
        <f>E66</f>
        <v>8831614</v>
      </c>
    </row>
    <row r="74" spans="1:5" x14ac:dyDescent="0.35">
      <c r="A74" s="141" t="s">
        <v>267</v>
      </c>
      <c r="B74" s="141"/>
      <c r="C74" s="142">
        <f>C71</f>
        <v>0</v>
      </c>
      <c r="D74" s="131">
        <f>D71</f>
        <v>0</v>
      </c>
      <c r="E74" s="131">
        <f>E71</f>
        <v>0</v>
      </c>
    </row>
    <row r="75" spans="1:5" ht="21.75" thickBot="1" x14ac:dyDescent="0.4">
      <c r="A75" s="143" t="s">
        <v>268</v>
      </c>
      <c r="B75" s="144"/>
      <c r="C75" s="145">
        <f>SUM(C72:C74)</f>
        <v>29563121</v>
      </c>
      <c r="D75" s="145">
        <f>SUM(D72:D74)</f>
        <v>2418240.4900000002</v>
      </c>
      <c r="E75" s="145">
        <f>SUM(E72:E74)</f>
        <v>26636281.329999998</v>
      </c>
    </row>
    <row r="76" spans="1:5" ht="21.75" thickTop="1" x14ac:dyDescent="0.35">
      <c r="A76" s="146"/>
      <c r="B76" s="147"/>
      <c r="C76" s="148"/>
      <c r="D76" s="148"/>
      <c r="E76" s="148"/>
    </row>
    <row r="77" spans="1:5" x14ac:dyDescent="0.35">
      <c r="A77" s="149"/>
      <c r="B77" s="150"/>
      <c r="C77" s="151"/>
      <c r="D77" s="148"/>
      <c r="E77" s="148"/>
    </row>
    <row r="78" spans="1:5" x14ac:dyDescent="0.35">
      <c r="A78" s="96"/>
      <c r="B78" s="148"/>
      <c r="C78" s="148"/>
      <c r="D78" s="148"/>
      <c r="E78" s="148"/>
    </row>
  </sheetData>
  <mergeCells count="3">
    <mergeCell ref="A2:E2"/>
    <mergeCell ref="A3:E3"/>
    <mergeCell ref="A4:E4"/>
  </mergeCells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98"/>
  <sheetViews>
    <sheetView topLeftCell="A40" workbookViewId="0">
      <selection activeCell="E97" sqref="E97"/>
    </sheetView>
  </sheetViews>
  <sheetFormatPr defaultRowHeight="21" x14ac:dyDescent="0.35"/>
  <cols>
    <col min="1" max="1" width="50.5" style="94" customWidth="1"/>
    <col min="2" max="2" width="11.625" style="94" customWidth="1"/>
    <col min="3" max="3" width="15.625" style="94" customWidth="1"/>
    <col min="4" max="4" width="13.125" style="94" hidden="1" customWidth="1"/>
    <col min="5" max="5" width="13.75" style="94" customWidth="1"/>
  </cols>
  <sheetData>
    <row r="2" spans="1:5" x14ac:dyDescent="0.2">
      <c r="A2" s="239" t="s">
        <v>220</v>
      </c>
      <c r="B2" s="239"/>
      <c r="C2" s="239"/>
      <c r="D2" s="239"/>
      <c r="E2" s="239"/>
    </row>
    <row r="3" spans="1:5" x14ac:dyDescent="0.2">
      <c r="A3" s="239" t="s">
        <v>337</v>
      </c>
      <c r="B3" s="239"/>
      <c r="C3" s="239"/>
      <c r="D3" s="239"/>
      <c r="E3" s="239"/>
    </row>
    <row r="4" spans="1:5" ht="9.9499999999999993" customHeight="1" x14ac:dyDescent="0.35">
      <c r="A4" s="96"/>
      <c r="B4" s="96"/>
      <c r="C4" s="96"/>
      <c r="D4" s="96"/>
      <c r="E4" s="96"/>
    </row>
    <row r="5" spans="1:5" x14ac:dyDescent="0.2">
      <c r="A5" s="97"/>
      <c r="B5" s="97" t="s">
        <v>149</v>
      </c>
      <c r="C5" s="97" t="s">
        <v>150</v>
      </c>
      <c r="D5" s="97" t="s">
        <v>222</v>
      </c>
      <c r="E5" s="97" t="s">
        <v>247</v>
      </c>
    </row>
    <row r="6" spans="1:5" x14ac:dyDescent="0.35">
      <c r="A6" s="98" t="s">
        <v>152</v>
      </c>
      <c r="B6" s="99"/>
      <c r="C6" s="99"/>
      <c r="D6" s="99"/>
      <c r="E6" s="99"/>
    </row>
    <row r="7" spans="1:5" x14ac:dyDescent="0.35">
      <c r="A7" s="100" t="s">
        <v>153</v>
      </c>
      <c r="B7" s="101">
        <v>41100000</v>
      </c>
      <c r="C7" s="102"/>
      <c r="D7" s="102"/>
      <c r="E7" s="102"/>
    </row>
    <row r="8" spans="1:5" x14ac:dyDescent="0.35">
      <c r="A8" s="103" t="s">
        <v>223</v>
      </c>
      <c r="B8" s="104">
        <v>41100001</v>
      </c>
      <c r="C8" s="105">
        <v>1600000</v>
      </c>
      <c r="D8" s="105">
        <v>83313</v>
      </c>
      <c r="E8" s="105">
        <f>1450703.4+D8</f>
        <v>1534016.4</v>
      </c>
    </row>
    <row r="9" spans="1:5" x14ac:dyDescent="0.35">
      <c r="A9" s="103" t="s">
        <v>224</v>
      </c>
      <c r="B9" s="104">
        <v>41100002</v>
      </c>
      <c r="C9" s="105">
        <v>62000</v>
      </c>
      <c r="D9" s="105">
        <f>1694.56+88.11</f>
        <v>1782.6699999999998</v>
      </c>
      <c r="E9" s="105">
        <f>32231.35+D9</f>
        <v>34014.019999999997</v>
      </c>
    </row>
    <row r="10" spans="1:5" x14ac:dyDescent="0.35">
      <c r="A10" s="103" t="s">
        <v>225</v>
      </c>
      <c r="B10" s="104">
        <v>41100003</v>
      </c>
      <c r="C10" s="106">
        <v>24000</v>
      </c>
      <c r="D10" s="106">
        <v>0</v>
      </c>
      <c r="E10" s="105">
        <v>40189</v>
      </c>
    </row>
    <row r="11" spans="1:5" x14ac:dyDescent="0.35">
      <c r="A11" s="103"/>
      <c r="B11" s="104"/>
      <c r="C11" s="106"/>
      <c r="D11" s="106"/>
      <c r="E11" s="106"/>
    </row>
    <row r="12" spans="1:5" x14ac:dyDescent="0.35">
      <c r="A12" s="107" t="s">
        <v>24</v>
      </c>
      <c r="B12" s="104"/>
      <c r="C12" s="108">
        <f>SUM(C8:C11)</f>
        <v>1686000</v>
      </c>
      <c r="D12" s="108">
        <f>SUM(D8:D11)</f>
        <v>85095.67</v>
      </c>
      <c r="E12" s="108">
        <f>SUM(E8:E11)</f>
        <v>1608219.42</v>
      </c>
    </row>
    <row r="13" spans="1:5" x14ac:dyDescent="0.35">
      <c r="A13" s="100" t="s">
        <v>226</v>
      </c>
      <c r="B13" s="101">
        <v>41200000</v>
      </c>
      <c r="C13" s="109"/>
      <c r="D13" s="109"/>
      <c r="E13" s="109"/>
    </row>
    <row r="14" spans="1:5" x14ac:dyDescent="0.35">
      <c r="A14" s="103" t="s">
        <v>227</v>
      </c>
      <c r="B14" s="104">
        <v>41210004</v>
      </c>
      <c r="C14" s="110">
        <v>0</v>
      </c>
      <c r="D14" s="109">
        <v>0</v>
      </c>
      <c r="E14" s="109">
        <f>659.6+D14</f>
        <v>659.6</v>
      </c>
    </row>
    <row r="15" spans="1:5" x14ac:dyDescent="0.35">
      <c r="A15" s="103" t="s">
        <v>228</v>
      </c>
      <c r="B15" s="104">
        <v>41210007</v>
      </c>
      <c r="C15" s="110">
        <v>10000</v>
      </c>
      <c r="D15" s="109">
        <v>1589.4</v>
      </c>
      <c r="E15" s="109">
        <f>66660.05+D15</f>
        <v>68249.45</v>
      </c>
    </row>
    <row r="16" spans="1:5" x14ac:dyDescent="0.35">
      <c r="A16" s="111" t="s">
        <v>229</v>
      </c>
      <c r="B16" s="104">
        <v>41210008</v>
      </c>
      <c r="C16" s="110">
        <v>330000</v>
      </c>
      <c r="D16" s="109">
        <f>48200+13500</f>
        <v>61700</v>
      </c>
      <c r="E16" s="109">
        <f>273890+D16</f>
        <v>335590</v>
      </c>
    </row>
    <row r="17" spans="1:5" x14ac:dyDescent="0.35">
      <c r="A17" s="111" t="s">
        <v>230</v>
      </c>
      <c r="B17" s="104">
        <v>41210010</v>
      </c>
      <c r="C17" s="110">
        <v>1000</v>
      </c>
      <c r="D17" s="109">
        <v>0</v>
      </c>
      <c r="E17" s="109">
        <v>0</v>
      </c>
    </row>
    <row r="18" spans="1:5" x14ac:dyDescent="0.35">
      <c r="A18" s="111" t="s">
        <v>231</v>
      </c>
      <c r="B18" s="104">
        <v>41210029</v>
      </c>
      <c r="C18" s="110">
        <v>500</v>
      </c>
      <c r="D18" s="109">
        <v>50</v>
      </c>
      <c r="E18" s="109">
        <f>580+D18</f>
        <v>630</v>
      </c>
    </row>
    <row r="19" spans="1:5" x14ac:dyDescent="0.35">
      <c r="A19" s="111" t="s">
        <v>232</v>
      </c>
      <c r="B19" s="104">
        <v>41210012</v>
      </c>
      <c r="C19" s="110">
        <v>0</v>
      </c>
      <c r="D19" s="109">
        <v>0</v>
      </c>
      <c r="E19" s="109">
        <f>40+D19</f>
        <v>40</v>
      </c>
    </row>
    <row r="20" spans="1:5" x14ac:dyDescent="0.35">
      <c r="A20" s="111" t="s">
        <v>233</v>
      </c>
      <c r="B20" s="104">
        <v>41219999</v>
      </c>
      <c r="C20" s="110">
        <v>18000</v>
      </c>
      <c r="D20" s="109">
        <v>0</v>
      </c>
      <c r="E20" s="109">
        <f>4200+D20</f>
        <v>4200</v>
      </c>
    </row>
    <row r="21" spans="1:5" x14ac:dyDescent="0.35">
      <c r="A21" s="111" t="s">
        <v>234</v>
      </c>
      <c r="B21" s="104">
        <v>41220002</v>
      </c>
      <c r="C21" s="110">
        <v>8500</v>
      </c>
      <c r="D21" s="112">
        <v>0</v>
      </c>
      <c r="E21" s="112">
        <f>7700+D21</f>
        <v>7700</v>
      </c>
    </row>
    <row r="22" spans="1:5" x14ac:dyDescent="0.35">
      <c r="A22" s="111" t="s">
        <v>235</v>
      </c>
      <c r="B22" s="104">
        <v>41220010</v>
      </c>
      <c r="C22" s="110">
        <v>2000</v>
      </c>
      <c r="D22" s="109">
        <v>0</v>
      </c>
      <c r="E22" s="109">
        <v>0</v>
      </c>
    </row>
    <row r="23" spans="1:5" x14ac:dyDescent="0.35">
      <c r="A23" s="111" t="s">
        <v>236</v>
      </c>
      <c r="B23" s="104">
        <v>41229999</v>
      </c>
      <c r="C23" s="110">
        <v>1000</v>
      </c>
      <c r="D23" s="109">
        <v>0</v>
      </c>
      <c r="E23" s="109">
        <v>0</v>
      </c>
    </row>
    <row r="24" spans="1:5" x14ac:dyDescent="0.35">
      <c r="A24" s="111" t="s">
        <v>237</v>
      </c>
      <c r="B24" s="104">
        <v>41230003</v>
      </c>
      <c r="C24" s="110">
        <v>100000</v>
      </c>
      <c r="D24" s="109">
        <v>0</v>
      </c>
      <c r="E24" s="109">
        <f>80500+D24</f>
        <v>80500</v>
      </c>
    </row>
    <row r="25" spans="1:5" x14ac:dyDescent="0.35">
      <c r="A25" s="111" t="s">
        <v>238</v>
      </c>
      <c r="B25" s="104">
        <v>41230004</v>
      </c>
      <c r="C25" s="110">
        <v>2000</v>
      </c>
      <c r="D25" s="109">
        <v>0</v>
      </c>
      <c r="E25" s="109">
        <f>600+D25</f>
        <v>600</v>
      </c>
    </row>
    <row r="26" spans="1:5" x14ac:dyDescent="0.35">
      <c r="A26" s="111" t="s">
        <v>239</v>
      </c>
      <c r="B26" s="104">
        <v>41230006</v>
      </c>
      <c r="C26" s="110">
        <v>0</v>
      </c>
      <c r="D26" s="109">
        <v>0</v>
      </c>
      <c r="E26" s="109">
        <v>0</v>
      </c>
    </row>
    <row r="27" spans="1:5" x14ac:dyDescent="0.35">
      <c r="A27" s="111" t="s">
        <v>240</v>
      </c>
      <c r="B27" s="104">
        <v>41230007</v>
      </c>
      <c r="C27" s="110">
        <v>500</v>
      </c>
      <c r="D27" s="109">
        <v>60</v>
      </c>
      <c r="E27" s="109">
        <f>680+D27</f>
        <v>740</v>
      </c>
    </row>
    <row r="28" spans="1:5" x14ac:dyDescent="0.35">
      <c r="A28" s="111"/>
      <c r="B28" s="104"/>
      <c r="C28" s="113"/>
      <c r="D28" s="114"/>
      <c r="E28" s="114"/>
    </row>
    <row r="29" spans="1:5" x14ac:dyDescent="0.35">
      <c r="A29" s="107" t="s">
        <v>24</v>
      </c>
      <c r="B29" s="104"/>
      <c r="C29" s="108">
        <f>SUM(C15:C28)</f>
        <v>473500</v>
      </c>
      <c r="D29" s="108">
        <f>SUM(D14:D28)</f>
        <v>63399.4</v>
      </c>
      <c r="E29" s="108">
        <f>SUM(E14:E27)</f>
        <v>498909.05</v>
      </c>
    </row>
    <row r="30" spans="1:5" x14ac:dyDescent="0.35">
      <c r="A30" s="100" t="s">
        <v>154</v>
      </c>
      <c r="B30" s="101">
        <v>41300000</v>
      </c>
      <c r="C30" s="109"/>
      <c r="D30" s="109"/>
      <c r="E30" s="109"/>
    </row>
    <row r="31" spans="1:5" x14ac:dyDescent="0.35">
      <c r="A31" s="103" t="s">
        <v>241</v>
      </c>
      <c r="B31" s="104">
        <v>41300003</v>
      </c>
      <c r="C31" s="105">
        <v>300000</v>
      </c>
      <c r="D31" s="105">
        <v>656.35</v>
      </c>
      <c r="E31" s="105">
        <f>217756.01+59094.08+5140.02+D31</f>
        <v>282646.46000000002</v>
      </c>
    </row>
    <row r="32" spans="1:5" x14ac:dyDescent="0.35">
      <c r="A32" s="103"/>
      <c r="B32" s="104"/>
      <c r="C32" s="105"/>
      <c r="D32" s="105"/>
      <c r="E32" s="105"/>
    </row>
    <row r="33" spans="1:5" x14ac:dyDescent="0.35">
      <c r="A33" s="107" t="s">
        <v>24</v>
      </c>
      <c r="B33" s="104"/>
      <c r="C33" s="108">
        <f>SUM(C31:C32)</f>
        <v>300000</v>
      </c>
      <c r="D33" s="108">
        <f>SUM(D31:D32)</f>
        <v>656.35</v>
      </c>
      <c r="E33" s="108">
        <f>SUM(E31:E32)</f>
        <v>282646.46000000002</v>
      </c>
    </row>
    <row r="34" spans="1:5" x14ac:dyDescent="0.35">
      <c r="A34" s="100" t="s">
        <v>155</v>
      </c>
      <c r="B34" s="115">
        <v>41400000</v>
      </c>
      <c r="C34" s="116"/>
      <c r="D34" s="116"/>
      <c r="E34" s="116"/>
    </row>
    <row r="35" spans="1:5" x14ac:dyDescent="0.35">
      <c r="A35" s="117" t="s">
        <v>242</v>
      </c>
      <c r="B35" s="118">
        <v>41400006</v>
      </c>
      <c r="C35" s="105">
        <v>500000</v>
      </c>
      <c r="D35" s="105">
        <v>18805</v>
      </c>
      <c r="E35" s="105">
        <f>95180+10580+10720+D35</f>
        <v>135285</v>
      </c>
    </row>
    <row r="36" spans="1:5" x14ac:dyDescent="0.35">
      <c r="A36" s="117"/>
      <c r="B36" s="118"/>
      <c r="C36" s="114"/>
      <c r="D36" s="114"/>
      <c r="E36" s="114"/>
    </row>
    <row r="37" spans="1:5" x14ac:dyDescent="0.35">
      <c r="A37" s="119" t="s">
        <v>24</v>
      </c>
      <c r="B37" s="118"/>
      <c r="C37" s="108">
        <f>SUM(C35:C36)</f>
        <v>500000</v>
      </c>
      <c r="D37" s="108">
        <f>SUM(D35:D36)</f>
        <v>18805</v>
      </c>
      <c r="E37" s="108">
        <f>SUM(E35:E36)</f>
        <v>135285</v>
      </c>
    </row>
    <row r="38" spans="1:5" ht="20.45" customHeight="1" x14ac:dyDescent="0.2">
      <c r="A38" s="97"/>
      <c r="B38" s="97" t="s">
        <v>149</v>
      </c>
      <c r="C38" s="97" t="s">
        <v>150</v>
      </c>
      <c r="D38" s="97" t="s">
        <v>222</v>
      </c>
      <c r="E38" s="97" t="s">
        <v>247</v>
      </c>
    </row>
    <row r="39" spans="1:5" ht="20.85" customHeight="1" x14ac:dyDescent="0.35">
      <c r="A39" s="120" t="s">
        <v>156</v>
      </c>
      <c r="B39" s="115">
        <v>41500000</v>
      </c>
      <c r="C39" s="109"/>
      <c r="D39" s="109"/>
      <c r="E39" s="109"/>
    </row>
    <row r="40" spans="1:5" ht="20.85" customHeight="1" x14ac:dyDescent="0.35">
      <c r="A40" s="103" t="s">
        <v>243</v>
      </c>
      <c r="B40" s="104">
        <v>41500004</v>
      </c>
      <c r="C40" s="105">
        <v>80000</v>
      </c>
      <c r="D40" s="105">
        <v>0</v>
      </c>
      <c r="E40" s="105">
        <f>36000+3000+3000+2500</f>
        <v>44500</v>
      </c>
    </row>
    <row r="41" spans="1:5" ht="20.85" customHeight="1" x14ac:dyDescent="0.35">
      <c r="A41" s="103" t="s">
        <v>244</v>
      </c>
      <c r="B41" s="104">
        <v>41599999</v>
      </c>
      <c r="C41" s="106">
        <v>3000</v>
      </c>
      <c r="D41" s="106">
        <v>0</v>
      </c>
      <c r="E41" s="106">
        <f>10+500</f>
        <v>510</v>
      </c>
    </row>
    <row r="42" spans="1:5" ht="20.85" customHeight="1" x14ac:dyDescent="0.35">
      <c r="A42" s="119" t="s">
        <v>24</v>
      </c>
      <c r="B42" s="104"/>
      <c r="C42" s="108">
        <f>SUM(C40:C41)</f>
        <v>83000</v>
      </c>
      <c r="D42" s="121">
        <f>SUM(D40:D41)</f>
        <v>0</v>
      </c>
      <c r="E42" s="121">
        <f>SUM(E40:E41)</f>
        <v>45010</v>
      </c>
    </row>
    <row r="43" spans="1:5" ht="20.85" customHeight="1" x14ac:dyDescent="0.35">
      <c r="A43" s="120" t="s">
        <v>245</v>
      </c>
      <c r="B43" s="104"/>
      <c r="C43" s="109"/>
      <c r="D43" s="109"/>
      <c r="E43" s="109"/>
    </row>
    <row r="44" spans="1:5" ht="20.85" customHeight="1" x14ac:dyDescent="0.35">
      <c r="A44" s="103" t="s">
        <v>246</v>
      </c>
      <c r="B44" s="104"/>
      <c r="C44" s="114">
        <v>18000</v>
      </c>
      <c r="D44" s="114">
        <v>0</v>
      </c>
      <c r="E44" s="114">
        <v>0</v>
      </c>
    </row>
    <row r="45" spans="1:5" ht="20.85" customHeight="1" x14ac:dyDescent="0.35">
      <c r="A45" s="122" t="s">
        <v>24</v>
      </c>
      <c r="B45" s="104"/>
      <c r="C45" s="123">
        <f>SUM(C44)</f>
        <v>18000</v>
      </c>
      <c r="D45" s="108">
        <f>SUM(D44)</f>
        <v>0</v>
      </c>
      <c r="E45" s="108">
        <f>SUM(E44)</f>
        <v>0</v>
      </c>
    </row>
    <row r="46" spans="1:5" ht="20.85" customHeight="1" x14ac:dyDescent="0.35">
      <c r="A46" s="124" t="s">
        <v>248</v>
      </c>
      <c r="B46" s="125">
        <v>42000000</v>
      </c>
      <c r="C46" s="126"/>
      <c r="D46" s="126"/>
      <c r="E46" s="126"/>
    </row>
    <row r="47" spans="1:5" ht="20.85" customHeight="1" x14ac:dyDescent="0.35">
      <c r="A47" s="100" t="s">
        <v>157</v>
      </c>
      <c r="B47" s="127">
        <v>42100000</v>
      </c>
      <c r="C47" s="102"/>
      <c r="D47" s="102"/>
      <c r="E47" s="102"/>
    </row>
    <row r="48" spans="1:5" ht="20.85" customHeight="1" x14ac:dyDescent="0.35">
      <c r="A48" s="128" t="s">
        <v>249</v>
      </c>
      <c r="B48" s="129">
        <v>42100001</v>
      </c>
      <c r="C48" s="105">
        <v>400000</v>
      </c>
      <c r="D48" s="105">
        <v>87429.9</v>
      </c>
      <c r="E48" s="105">
        <f>970939.34+D48</f>
        <v>1058369.24</v>
      </c>
    </row>
    <row r="49" spans="1:5" ht="20.85" customHeight="1" x14ac:dyDescent="0.35">
      <c r="A49" s="103" t="s">
        <v>250</v>
      </c>
      <c r="B49" s="129">
        <v>42100002</v>
      </c>
      <c r="C49" s="105">
        <v>7500000</v>
      </c>
      <c r="D49" s="105">
        <v>1286217.6000000001</v>
      </c>
      <c r="E49" s="105">
        <f>5635941+D49</f>
        <v>6922158.5999999996</v>
      </c>
    </row>
    <row r="50" spans="1:5" ht="20.85" customHeight="1" x14ac:dyDescent="0.35">
      <c r="A50" s="103" t="s">
        <v>251</v>
      </c>
      <c r="B50" s="129">
        <v>42100004</v>
      </c>
      <c r="C50" s="105">
        <v>2000000</v>
      </c>
      <c r="D50" s="105">
        <v>321549.94</v>
      </c>
      <c r="E50" s="105">
        <f>1910248.94+D50</f>
        <v>2231798.88</v>
      </c>
    </row>
    <row r="51" spans="1:5" ht="20.85" customHeight="1" x14ac:dyDescent="0.35">
      <c r="A51" s="103" t="s">
        <v>252</v>
      </c>
      <c r="B51" s="129">
        <v>42100005</v>
      </c>
      <c r="C51" s="105">
        <v>0</v>
      </c>
      <c r="D51" s="105">
        <v>36615.72</v>
      </c>
      <c r="E51" s="105">
        <f>147548.4+D51</f>
        <v>184164.12</v>
      </c>
    </row>
    <row r="52" spans="1:5" ht="20.85" customHeight="1" x14ac:dyDescent="0.35">
      <c r="A52" s="103" t="s">
        <v>253</v>
      </c>
      <c r="B52" s="129">
        <v>42100006</v>
      </c>
      <c r="C52" s="105">
        <v>600000</v>
      </c>
      <c r="D52" s="105">
        <v>0</v>
      </c>
      <c r="E52" s="105">
        <v>0</v>
      </c>
    </row>
    <row r="53" spans="1:5" ht="20.85" customHeight="1" x14ac:dyDescent="0.35">
      <c r="A53" s="103" t="s">
        <v>254</v>
      </c>
      <c r="B53" s="129">
        <v>42100007</v>
      </c>
      <c r="C53" s="105">
        <v>1300000</v>
      </c>
      <c r="D53" s="105">
        <v>206445.36</v>
      </c>
      <c r="E53" s="105">
        <f>2129958.66+D53</f>
        <v>2336404.02</v>
      </c>
    </row>
    <row r="54" spans="1:5" ht="20.85" customHeight="1" x14ac:dyDescent="0.35">
      <c r="A54" s="130" t="s">
        <v>255</v>
      </c>
      <c r="B54" s="129">
        <v>42100011</v>
      </c>
      <c r="C54" s="105">
        <v>2000</v>
      </c>
      <c r="D54" s="105">
        <v>0</v>
      </c>
      <c r="E54" s="105">
        <v>3001</v>
      </c>
    </row>
    <row r="55" spans="1:5" ht="20.85" customHeight="1" x14ac:dyDescent="0.35">
      <c r="A55" s="130" t="s">
        <v>256</v>
      </c>
      <c r="B55" s="129">
        <v>42100012</v>
      </c>
      <c r="C55" s="105">
        <v>20000</v>
      </c>
      <c r="D55" s="105">
        <v>4306.55</v>
      </c>
      <c r="E55" s="105">
        <f>13435.91+D55</f>
        <v>17742.46</v>
      </c>
    </row>
    <row r="56" spans="1:5" ht="20.85" customHeight="1" x14ac:dyDescent="0.35">
      <c r="A56" s="103" t="s">
        <v>257</v>
      </c>
      <c r="B56" s="129">
        <v>42100013</v>
      </c>
      <c r="C56" s="105">
        <v>30000</v>
      </c>
      <c r="D56" s="105">
        <v>0</v>
      </c>
      <c r="E56" s="105">
        <v>21239.08</v>
      </c>
    </row>
    <row r="57" spans="1:5" ht="20.85" customHeight="1" x14ac:dyDescent="0.35">
      <c r="A57" s="103" t="s">
        <v>258</v>
      </c>
      <c r="B57" s="129">
        <v>42100015</v>
      </c>
      <c r="C57" s="105">
        <v>4000000</v>
      </c>
      <c r="D57" s="105">
        <v>212819</v>
      </c>
      <c r="E57" s="105">
        <f>2246391+D57</f>
        <v>2459210</v>
      </c>
    </row>
    <row r="58" spans="1:5" ht="20.85" customHeight="1" x14ac:dyDescent="0.35">
      <c r="A58" s="103" t="s">
        <v>259</v>
      </c>
      <c r="B58" s="129">
        <v>42100016</v>
      </c>
      <c r="C58" s="106">
        <v>100</v>
      </c>
      <c r="D58" s="106">
        <v>0</v>
      </c>
      <c r="E58" s="106">
        <v>0</v>
      </c>
    </row>
    <row r="59" spans="1:5" ht="20.85" customHeight="1" x14ac:dyDescent="0.35">
      <c r="A59" s="103" t="s">
        <v>260</v>
      </c>
      <c r="B59" s="129">
        <v>42100017</v>
      </c>
      <c r="C59" s="106">
        <v>1000</v>
      </c>
      <c r="D59" s="106">
        <v>500</v>
      </c>
      <c r="E59" s="106">
        <v>510</v>
      </c>
    </row>
    <row r="60" spans="1:5" ht="20.85" customHeight="1" x14ac:dyDescent="0.35">
      <c r="A60" s="107" t="s">
        <v>24</v>
      </c>
      <c r="B60" s="129"/>
      <c r="C60" s="132">
        <f>SUM(C48:C59)</f>
        <v>15853100</v>
      </c>
      <c r="D60" s="132">
        <f>SUM(D48:D59)</f>
        <v>2155884.0700000003</v>
      </c>
      <c r="E60" s="132">
        <f>SUM(E48:E59)</f>
        <v>15234597.399999999</v>
      </c>
    </row>
    <row r="61" spans="1:5" ht="20.85" customHeight="1" x14ac:dyDescent="0.35">
      <c r="A61" s="124" t="s">
        <v>158</v>
      </c>
      <c r="B61" s="125">
        <v>43000000</v>
      </c>
      <c r="C61" s="109"/>
      <c r="D61" s="109"/>
      <c r="E61" s="109"/>
    </row>
    <row r="62" spans="1:5" ht="20.85" customHeight="1" x14ac:dyDescent="0.35">
      <c r="A62" s="100" t="s">
        <v>159</v>
      </c>
      <c r="B62" s="127">
        <v>43100000</v>
      </c>
      <c r="C62" s="105"/>
      <c r="D62" s="105"/>
      <c r="E62" s="105"/>
    </row>
    <row r="63" spans="1:5" ht="20.85" customHeight="1" x14ac:dyDescent="0.35">
      <c r="A63" s="103" t="s">
        <v>261</v>
      </c>
      <c r="B63" s="129">
        <v>43100001</v>
      </c>
      <c r="C63" s="105">
        <v>0</v>
      </c>
      <c r="D63" s="105">
        <v>0</v>
      </c>
      <c r="E63" s="105">
        <f>0+D63</f>
        <v>0</v>
      </c>
    </row>
    <row r="64" spans="1:5" ht="20.85" customHeight="1" x14ac:dyDescent="0.35">
      <c r="A64" s="103" t="s">
        <v>262</v>
      </c>
      <c r="B64" s="129">
        <v>43100002</v>
      </c>
      <c r="C64" s="105">
        <v>10649521</v>
      </c>
      <c r="D64" s="105">
        <v>94400</v>
      </c>
      <c r="E64" s="105">
        <f>2861598+2488684+304281+9867+1537014+1523886+11884+D64</f>
        <v>8831614</v>
      </c>
    </row>
    <row r="65" spans="1:5" ht="20.85" customHeight="1" x14ac:dyDescent="0.35">
      <c r="A65" s="107" t="s">
        <v>24</v>
      </c>
      <c r="B65" s="129"/>
      <c r="C65" s="108">
        <f>SUM(C64:C64)</f>
        <v>10649521</v>
      </c>
      <c r="D65" s="108">
        <f>SUM(D64:D64)</f>
        <v>94400</v>
      </c>
      <c r="E65" s="108">
        <f>SUM(E64:E64)</f>
        <v>8831614</v>
      </c>
    </row>
    <row r="66" spans="1:5" ht="20.85" customHeight="1" x14ac:dyDescent="0.35">
      <c r="A66" s="133" t="s">
        <v>160</v>
      </c>
      <c r="B66" s="127">
        <v>44000000</v>
      </c>
      <c r="C66" s="134"/>
      <c r="D66" s="134"/>
      <c r="E66" s="134"/>
    </row>
    <row r="67" spans="1:5" ht="20.85" customHeight="1" x14ac:dyDescent="0.35">
      <c r="A67" s="100" t="s">
        <v>161</v>
      </c>
      <c r="B67" s="127">
        <v>44100000</v>
      </c>
      <c r="C67" s="105"/>
      <c r="D67" s="105"/>
      <c r="E67" s="105"/>
    </row>
    <row r="68" spans="1:5" ht="20.85" customHeight="1" x14ac:dyDescent="0.35">
      <c r="A68" s="103" t="s">
        <v>263</v>
      </c>
      <c r="B68" s="129">
        <v>44100001</v>
      </c>
      <c r="C68" s="135">
        <v>0</v>
      </c>
      <c r="D68" s="135">
        <v>0</v>
      </c>
      <c r="E68" s="135">
        <f>0+D68</f>
        <v>0</v>
      </c>
    </row>
    <row r="69" spans="1:5" ht="20.85" customHeight="1" x14ac:dyDescent="0.35">
      <c r="A69" s="103" t="s">
        <v>264</v>
      </c>
      <c r="B69" s="129">
        <v>44100002</v>
      </c>
      <c r="C69" s="135">
        <v>0</v>
      </c>
      <c r="D69" s="105">
        <v>0</v>
      </c>
      <c r="E69" s="105">
        <f>0+D69</f>
        <v>0</v>
      </c>
    </row>
    <row r="70" spans="1:5" ht="20.85" customHeight="1" x14ac:dyDescent="0.35">
      <c r="A70" s="136" t="s">
        <v>24</v>
      </c>
      <c r="B70" s="129"/>
      <c r="C70" s="137">
        <f>SUM(C68:C69)</f>
        <v>0</v>
      </c>
      <c r="D70" s="108">
        <f>SUM(D68:D69)</f>
        <v>0</v>
      </c>
      <c r="E70" s="108">
        <f>SUM(E68:E69)</f>
        <v>0</v>
      </c>
    </row>
    <row r="71" spans="1:5" ht="20.85" customHeight="1" x14ac:dyDescent="0.35">
      <c r="A71" s="138" t="s">
        <v>265</v>
      </c>
      <c r="B71" s="139"/>
      <c r="C71" s="140">
        <f>C12+C29+C33+C37+C42+C45+C60</f>
        <v>18913600</v>
      </c>
      <c r="D71" s="140">
        <f>D12+D29+D33+D37+D45+D60+D42</f>
        <v>2323840.4900000002</v>
      </c>
      <c r="E71" s="140">
        <f>E12+E29+E33+E37+E45+E60+E42</f>
        <v>17804667.329999998</v>
      </c>
    </row>
    <row r="72" spans="1:5" ht="20.85" customHeight="1" x14ac:dyDescent="0.35">
      <c r="A72" s="138" t="s">
        <v>266</v>
      </c>
      <c r="B72" s="138"/>
      <c r="C72" s="112">
        <f>C65</f>
        <v>10649521</v>
      </c>
      <c r="D72" s="112">
        <f>D65</f>
        <v>94400</v>
      </c>
      <c r="E72" s="112">
        <f>E65</f>
        <v>8831614</v>
      </c>
    </row>
    <row r="73" spans="1:5" ht="20.85" customHeight="1" x14ac:dyDescent="0.35">
      <c r="A73" s="141" t="s">
        <v>267</v>
      </c>
      <c r="B73" s="141"/>
      <c r="C73" s="142">
        <f>C70</f>
        <v>0</v>
      </c>
      <c r="D73" s="131">
        <f>D70</f>
        <v>0</v>
      </c>
      <c r="E73" s="131">
        <f>E70</f>
        <v>0</v>
      </c>
    </row>
    <row r="74" spans="1:5" ht="20.85" customHeight="1" thickBot="1" x14ac:dyDescent="0.4">
      <c r="A74" s="143" t="s">
        <v>268</v>
      </c>
      <c r="B74" s="144"/>
      <c r="C74" s="145">
        <f>SUM(C71:C73)</f>
        <v>29563121</v>
      </c>
      <c r="D74" s="145">
        <f>SUM(D71:D73)</f>
        <v>2418240.4900000002</v>
      </c>
      <c r="E74" s="145">
        <f>SUM(E71:E73)</f>
        <v>26636281.329999998</v>
      </c>
    </row>
    <row r="75" spans="1:5" ht="15" thickTop="1" x14ac:dyDescent="0.2">
      <c r="A75" s="234" t="s">
        <v>199</v>
      </c>
      <c r="B75" s="234" t="s">
        <v>149</v>
      </c>
      <c r="C75" s="234" t="s">
        <v>150</v>
      </c>
      <c r="D75" s="234" t="s">
        <v>151</v>
      </c>
      <c r="E75" s="234" t="s">
        <v>151</v>
      </c>
    </row>
    <row r="76" spans="1:5" ht="14.25" x14ac:dyDescent="0.2">
      <c r="A76" s="235"/>
      <c r="B76" s="235"/>
      <c r="C76" s="235"/>
      <c r="D76" s="235"/>
      <c r="E76" s="235"/>
    </row>
    <row r="77" spans="1:5" ht="19.5" x14ac:dyDescent="0.3">
      <c r="A77" s="65" t="s">
        <v>179</v>
      </c>
      <c r="B77" s="66">
        <v>51000000</v>
      </c>
      <c r="C77" s="67">
        <v>6852736</v>
      </c>
      <c r="D77" s="67">
        <f>4769758.59+436188+426102</f>
        <v>5632048.5899999999</v>
      </c>
      <c r="E77" s="67">
        <v>5923661</v>
      </c>
    </row>
    <row r="78" spans="1:5" ht="19.5" x14ac:dyDescent="0.3">
      <c r="A78" s="65" t="s">
        <v>180</v>
      </c>
      <c r="B78" s="66">
        <v>52100000</v>
      </c>
      <c r="C78" s="67">
        <v>1478320</v>
      </c>
      <c r="D78" s="67">
        <f>1206367+120660+120660</f>
        <v>1447687</v>
      </c>
      <c r="E78" s="67">
        <v>1447920</v>
      </c>
    </row>
    <row r="79" spans="1:5" ht="19.5" x14ac:dyDescent="0.3">
      <c r="A79" s="65" t="s">
        <v>181</v>
      </c>
      <c r="B79" s="66">
        <v>52200000</v>
      </c>
      <c r="C79" s="67">
        <v>7700368</v>
      </c>
      <c r="D79" s="67">
        <f>4828668+529019+535085</f>
        <v>5892772</v>
      </c>
      <c r="E79" s="67">
        <v>6720802</v>
      </c>
    </row>
    <row r="80" spans="1:5" ht="19.5" x14ac:dyDescent="0.3">
      <c r="A80" s="65" t="s">
        <v>182</v>
      </c>
      <c r="B80" s="66">
        <v>53100000</v>
      </c>
      <c r="C80" s="67">
        <v>685919</v>
      </c>
      <c r="D80" s="67">
        <f>82170+9900+8500</f>
        <v>100570</v>
      </c>
      <c r="E80" s="67">
        <v>603460</v>
      </c>
    </row>
    <row r="81" spans="1:5" ht="19.5" x14ac:dyDescent="0.3">
      <c r="A81" s="65" t="s">
        <v>78</v>
      </c>
      <c r="B81" s="66">
        <v>53200000</v>
      </c>
      <c r="C81" s="67">
        <v>4410385</v>
      </c>
      <c r="D81" s="67">
        <f>1505004.8-4627.7+205732+409558.23+248395.75+637106.94+15000</f>
        <v>3016170.02</v>
      </c>
      <c r="E81" s="67">
        <v>2848700.88</v>
      </c>
    </row>
    <row r="82" spans="1:5" ht="19.5" x14ac:dyDescent="0.3">
      <c r="A82" s="65" t="s">
        <v>89</v>
      </c>
      <c r="B82" s="66">
        <v>53300000</v>
      </c>
      <c r="C82" s="67">
        <v>2243528</v>
      </c>
      <c r="D82" s="67">
        <f>1440614.44+6415.5</f>
        <v>1447029.94</v>
      </c>
      <c r="E82" s="67">
        <v>1573153.55</v>
      </c>
    </row>
    <row r="83" spans="1:5" ht="24" customHeight="1" x14ac:dyDescent="0.3">
      <c r="A83" s="65" t="s">
        <v>183</v>
      </c>
      <c r="B83" s="66">
        <v>53400000</v>
      </c>
      <c r="C83" s="67">
        <v>505000</v>
      </c>
      <c r="D83" s="67">
        <f>225157.26+57771.78+2219.18+60410.59+32540.69</f>
        <v>378099.50000000006</v>
      </c>
      <c r="E83" s="67">
        <v>363969.61</v>
      </c>
    </row>
    <row r="84" spans="1:5" ht="24" customHeight="1" x14ac:dyDescent="0.3">
      <c r="A84" s="65" t="s">
        <v>62</v>
      </c>
      <c r="B84" s="66">
        <v>54100000</v>
      </c>
      <c r="C84" s="67">
        <v>1014107</v>
      </c>
      <c r="D84" s="67">
        <f>1148480+1297800</f>
        <v>2446280</v>
      </c>
      <c r="E84" s="67">
        <v>999057</v>
      </c>
    </row>
    <row r="85" spans="1:5" ht="24" customHeight="1" x14ac:dyDescent="0.3">
      <c r="A85" s="65" t="s">
        <v>44</v>
      </c>
      <c r="B85" s="66">
        <v>54200000</v>
      </c>
      <c r="C85" s="67">
        <v>3411758</v>
      </c>
      <c r="D85" s="67">
        <f>724000+216000+1101900+64000+963300</f>
        <v>3069200</v>
      </c>
      <c r="E85" s="67">
        <v>3343305.02</v>
      </c>
    </row>
    <row r="86" spans="1:5" ht="24" customHeight="1" x14ac:dyDescent="0.3">
      <c r="A86" s="65" t="s">
        <v>85</v>
      </c>
      <c r="B86" s="66">
        <v>55100000</v>
      </c>
      <c r="C86" s="67">
        <v>20000</v>
      </c>
      <c r="D86" s="67">
        <v>20000</v>
      </c>
      <c r="E86" s="67">
        <v>20000</v>
      </c>
    </row>
    <row r="87" spans="1:5" ht="24" customHeight="1" x14ac:dyDescent="0.3">
      <c r="A87" s="68" t="s">
        <v>184</v>
      </c>
      <c r="B87" s="69">
        <v>56100000</v>
      </c>
      <c r="C87" s="70">
        <v>1241000</v>
      </c>
      <c r="D87" s="70">
        <f>394000-15760+400000+160000-9400-6336+135976.67-44716</f>
        <v>1013764.6699999999</v>
      </c>
      <c r="E87" s="70">
        <v>930040</v>
      </c>
    </row>
    <row r="88" spans="1:5" ht="24" customHeight="1" thickBot="1" x14ac:dyDescent="0.4">
      <c r="A88" s="143" t="s">
        <v>338</v>
      </c>
      <c r="B88" s="162"/>
      <c r="C88" s="163">
        <f>SUM(C77:C87)</f>
        <v>29563121</v>
      </c>
      <c r="D88" s="163">
        <f>SUM(D77:D87)</f>
        <v>24463621.719999999</v>
      </c>
      <c r="E88" s="163">
        <f>SUM(E77:E87)</f>
        <v>24774069.059999999</v>
      </c>
    </row>
    <row r="89" spans="1:5" ht="24" customHeight="1" thickTop="1" x14ac:dyDescent="0.35"/>
    <row r="90" spans="1:5" ht="24" customHeight="1" x14ac:dyDescent="0.35"/>
    <row r="91" spans="1:5" ht="24" customHeight="1" x14ac:dyDescent="0.35"/>
    <row r="92" spans="1:5" ht="24" customHeight="1" x14ac:dyDescent="0.35"/>
    <row r="93" spans="1:5" ht="24" customHeight="1" x14ac:dyDescent="0.35"/>
    <row r="94" spans="1:5" ht="24" customHeight="1" x14ac:dyDescent="0.35"/>
    <row r="95" spans="1:5" ht="24" customHeight="1" x14ac:dyDescent="0.35"/>
    <row r="96" spans="1:5" ht="24" customHeight="1" x14ac:dyDescent="0.35"/>
    <row r="97" ht="24" customHeight="1" x14ac:dyDescent="0.35"/>
    <row r="98" ht="24" customHeight="1" x14ac:dyDescent="0.35"/>
  </sheetData>
  <mergeCells count="7">
    <mergeCell ref="A2:E2"/>
    <mergeCell ref="A3:E3"/>
    <mergeCell ref="A75:A76"/>
    <mergeCell ref="B75:B76"/>
    <mergeCell ref="C75:C76"/>
    <mergeCell ref="D75:D76"/>
    <mergeCell ref="E75:E76"/>
  </mergeCells>
  <pageMargins left="0.39370078740157483" right="0.19685039370078741" top="0.59055118110236227" bottom="0.39370078740157483" header="0.31496062992125984" footer="0.31496062992125984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workbookViewId="0">
      <selection activeCell="F44" sqref="F44"/>
    </sheetView>
  </sheetViews>
  <sheetFormatPr defaultRowHeight="21" x14ac:dyDescent="0.35"/>
  <cols>
    <col min="1" max="1" width="2.625" style="1" customWidth="1"/>
    <col min="2" max="2" width="3.625" style="2" customWidth="1"/>
    <col min="3" max="3" width="30.625" style="1" customWidth="1"/>
    <col min="4" max="5" width="12.125" style="164" customWidth="1"/>
    <col min="6" max="6" width="10.625" style="2" customWidth="1"/>
    <col min="7" max="7" width="12.125" style="164" customWidth="1"/>
    <col min="8" max="16384" width="9" style="1"/>
  </cols>
  <sheetData>
    <row r="1" spans="1:7" x14ac:dyDescent="0.35">
      <c r="A1" s="240" t="s">
        <v>301</v>
      </c>
      <c r="B1" s="240"/>
      <c r="C1" s="240"/>
      <c r="D1" s="240"/>
      <c r="E1" s="240"/>
      <c r="F1" s="240"/>
      <c r="G1" s="240"/>
    </row>
    <row r="2" spans="1:7" x14ac:dyDescent="0.35">
      <c r="A2" s="240" t="s">
        <v>302</v>
      </c>
      <c r="B2" s="240"/>
      <c r="C2" s="240"/>
      <c r="D2" s="240"/>
      <c r="E2" s="240"/>
      <c r="F2" s="240"/>
      <c r="G2" s="240"/>
    </row>
    <row r="3" spans="1:7" ht="5.0999999999999996" customHeight="1" x14ac:dyDescent="0.35"/>
    <row r="4" spans="1:7" x14ac:dyDescent="0.35">
      <c r="A4" s="202" t="s">
        <v>303</v>
      </c>
      <c r="B4" s="204"/>
      <c r="C4" s="203"/>
      <c r="D4" s="16" t="s">
        <v>304</v>
      </c>
      <c r="E4" s="16" t="s">
        <v>11</v>
      </c>
      <c r="F4" s="176" t="s">
        <v>305</v>
      </c>
      <c r="G4" s="16" t="s">
        <v>24</v>
      </c>
    </row>
    <row r="5" spans="1:7" x14ac:dyDescent="0.35">
      <c r="A5" s="187" t="s">
        <v>62</v>
      </c>
      <c r="B5" s="188"/>
      <c r="C5" s="184"/>
      <c r="D5" s="177"/>
      <c r="E5" s="177"/>
      <c r="F5" s="178"/>
      <c r="G5" s="195"/>
    </row>
    <row r="6" spans="1:7" x14ac:dyDescent="0.35">
      <c r="A6" s="189"/>
      <c r="B6" s="190" t="s">
        <v>306</v>
      </c>
      <c r="C6" s="185"/>
      <c r="D6" s="179"/>
      <c r="E6" s="179"/>
      <c r="F6" s="180"/>
      <c r="G6" s="179">
        <v>95972</v>
      </c>
    </row>
    <row r="7" spans="1:7" x14ac:dyDescent="0.35">
      <c r="A7" s="189"/>
      <c r="B7" s="191">
        <v>1</v>
      </c>
      <c r="C7" s="185" t="s">
        <v>307</v>
      </c>
      <c r="D7" s="179">
        <v>20972</v>
      </c>
      <c r="E7" s="179"/>
      <c r="F7" s="181">
        <v>241492</v>
      </c>
      <c r="G7" s="179"/>
    </row>
    <row r="8" spans="1:7" x14ac:dyDescent="0.35">
      <c r="A8" s="189"/>
      <c r="B8" s="191">
        <v>2</v>
      </c>
      <c r="C8" s="185" t="s">
        <v>308</v>
      </c>
      <c r="D8" s="179"/>
      <c r="E8" s="179"/>
      <c r="F8" s="180"/>
      <c r="G8" s="179"/>
    </row>
    <row r="9" spans="1:7" x14ac:dyDescent="0.35">
      <c r="A9" s="189"/>
      <c r="B9" s="191">
        <v>3</v>
      </c>
      <c r="C9" s="185" t="s">
        <v>316</v>
      </c>
      <c r="D9" s="179"/>
      <c r="E9" s="179">
        <v>75000</v>
      </c>
      <c r="F9" s="181">
        <v>241495</v>
      </c>
      <c r="G9" s="179"/>
    </row>
    <row r="10" spans="1:7" x14ac:dyDescent="0.35">
      <c r="A10" s="189"/>
      <c r="B10" s="190" t="s">
        <v>309</v>
      </c>
      <c r="C10" s="185"/>
      <c r="D10" s="179"/>
      <c r="E10" s="179"/>
      <c r="F10" s="180"/>
      <c r="G10" s="179">
        <v>580400</v>
      </c>
    </row>
    <row r="11" spans="1:7" x14ac:dyDescent="0.35">
      <c r="A11" s="189"/>
      <c r="B11" s="191">
        <v>4</v>
      </c>
      <c r="C11" s="185" t="s">
        <v>310</v>
      </c>
      <c r="D11" s="179">
        <v>16500</v>
      </c>
      <c r="E11" s="179"/>
      <c r="F11" s="181">
        <v>241492</v>
      </c>
      <c r="G11" s="179"/>
    </row>
    <row r="12" spans="1:7" x14ac:dyDescent="0.35">
      <c r="A12" s="189"/>
      <c r="B12" s="191">
        <v>5</v>
      </c>
      <c r="C12" s="185" t="s">
        <v>311</v>
      </c>
      <c r="D12" s="179">
        <v>85000</v>
      </c>
      <c r="E12" s="179"/>
      <c r="F12" s="181">
        <v>22544</v>
      </c>
      <c r="G12" s="179"/>
    </row>
    <row r="13" spans="1:7" x14ac:dyDescent="0.35">
      <c r="A13" s="189"/>
      <c r="B13" s="191">
        <v>6</v>
      </c>
      <c r="C13" s="185" t="s">
        <v>318</v>
      </c>
      <c r="D13" s="179"/>
      <c r="E13" s="179">
        <v>478900</v>
      </c>
      <c r="F13" s="181">
        <v>241500</v>
      </c>
      <c r="G13" s="179"/>
    </row>
    <row r="14" spans="1:7" x14ac:dyDescent="0.35">
      <c r="A14" s="189"/>
      <c r="B14" s="192" t="s">
        <v>312</v>
      </c>
      <c r="C14" s="185"/>
      <c r="D14" s="179"/>
      <c r="E14" s="179"/>
      <c r="F14" s="180"/>
      <c r="G14" s="179">
        <v>54000</v>
      </c>
    </row>
    <row r="15" spans="1:7" x14ac:dyDescent="0.35">
      <c r="A15" s="189"/>
      <c r="B15" s="191">
        <v>7</v>
      </c>
      <c r="C15" s="185" t="s">
        <v>313</v>
      </c>
      <c r="D15" s="179">
        <v>54000</v>
      </c>
      <c r="E15" s="179"/>
      <c r="F15" s="181">
        <v>241508</v>
      </c>
      <c r="G15" s="179"/>
    </row>
    <row r="16" spans="1:7" x14ac:dyDescent="0.35">
      <c r="A16" s="189"/>
      <c r="B16" s="192" t="s">
        <v>314</v>
      </c>
      <c r="C16" s="185"/>
      <c r="D16" s="179"/>
      <c r="E16" s="179"/>
      <c r="F16" s="180"/>
      <c r="G16" s="179">
        <v>724900</v>
      </c>
    </row>
    <row r="17" spans="1:7" x14ac:dyDescent="0.35">
      <c r="A17" s="189"/>
      <c r="B17" s="191">
        <v>8</v>
      </c>
      <c r="C17" s="185" t="s">
        <v>315</v>
      </c>
      <c r="D17" s="179">
        <v>15000</v>
      </c>
      <c r="E17" s="179"/>
      <c r="F17" s="181">
        <v>22375</v>
      </c>
      <c r="G17" s="179"/>
    </row>
    <row r="18" spans="1:7" x14ac:dyDescent="0.35">
      <c r="A18" s="189"/>
      <c r="B18" s="191">
        <v>9</v>
      </c>
      <c r="C18" s="185" t="s">
        <v>317</v>
      </c>
      <c r="D18" s="179"/>
      <c r="E18" s="179">
        <v>709900</v>
      </c>
      <c r="F18" s="180"/>
      <c r="G18" s="179"/>
    </row>
    <row r="19" spans="1:7" x14ac:dyDescent="0.35">
      <c r="A19" s="189"/>
      <c r="B19" s="192" t="s">
        <v>319</v>
      </c>
      <c r="C19" s="185"/>
      <c r="D19" s="179"/>
      <c r="E19" s="179"/>
      <c r="F19" s="180"/>
      <c r="G19" s="179">
        <v>177950</v>
      </c>
    </row>
    <row r="20" spans="1:7" x14ac:dyDescent="0.35">
      <c r="A20" s="189"/>
      <c r="B20" s="191">
        <v>10</v>
      </c>
      <c r="C20" s="185" t="s">
        <v>320</v>
      </c>
      <c r="D20" s="179">
        <v>44200</v>
      </c>
      <c r="E20" s="179"/>
      <c r="F20" s="181">
        <v>241515</v>
      </c>
      <c r="G20" s="179"/>
    </row>
    <row r="21" spans="1:7" x14ac:dyDescent="0.35">
      <c r="A21" s="189"/>
      <c r="B21" s="191">
        <v>11</v>
      </c>
      <c r="C21" s="185" t="s">
        <v>321</v>
      </c>
      <c r="D21" s="179">
        <v>11700</v>
      </c>
      <c r="E21" s="179"/>
      <c r="F21" s="181">
        <v>22405</v>
      </c>
      <c r="G21" s="179"/>
    </row>
    <row r="22" spans="1:7" x14ac:dyDescent="0.35">
      <c r="A22" s="189"/>
      <c r="B22" s="191">
        <v>12</v>
      </c>
      <c r="C22" s="185" t="s">
        <v>322</v>
      </c>
      <c r="D22" s="179">
        <v>80550</v>
      </c>
      <c r="E22" s="179"/>
      <c r="F22" s="181">
        <v>22405</v>
      </c>
      <c r="G22" s="179"/>
    </row>
    <row r="23" spans="1:7" x14ac:dyDescent="0.35">
      <c r="A23" s="189"/>
      <c r="B23" s="191">
        <v>13</v>
      </c>
      <c r="C23" s="185" t="s">
        <v>323</v>
      </c>
      <c r="D23" s="179">
        <v>17000</v>
      </c>
      <c r="E23" s="179"/>
      <c r="F23" s="181">
        <v>22551</v>
      </c>
      <c r="G23" s="179"/>
    </row>
    <row r="24" spans="1:7" x14ac:dyDescent="0.35">
      <c r="A24" s="189"/>
      <c r="B24" s="191">
        <v>14</v>
      </c>
      <c r="C24" s="185" t="s">
        <v>324</v>
      </c>
      <c r="D24" s="179">
        <v>17000</v>
      </c>
      <c r="E24" s="179"/>
      <c r="F24" s="181">
        <v>22551</v>
      </c>
      <c r="G24" s="179"/>
    </row>
    <row r="25" spans="1:7" x14ac:dyDescent="0.35">
      <c r="A25" s="189"/>
      <c r="B25" s="191">
        <v>15</v>
      </c>
      <c r="C25" s="185" t="s">
        <v>325</v>
      </c>
      <c r="D25" s="179">
        <v>7500</v>
      </c>
      <c r="E25" s="179"/>
      <c r="F25" s="181">
        <v>22551</v>
      </c>
      <c r="G25" s="179"/>
    </row>
    <row r="26" spans="1:7" x14ac:dyDescent="0.35">
      <c r="A26" s="189"/>
      <c r="B26" s="192" t="s">
        <v>326</v>
      </c>
      <c r="C26" s="185"/>
      <c r="D26" s="179"/>
      <c r="E26" s="179"/>
      <c r="F26" s="180"/>
      <c r="G26" s="179">
        <v>6000</v>
      </c>
    </row>
    <row r="27" spans="1:7" x14ac:dyDescent="0.35">
      <c r="A27" s="189"/>
      <c r="B27" s="191">
        <v>16</v>
      </c>
      <c r="C27" s="185" t="s">
        <v>327</v>
      </c>
      <c r="D27" s="179">
        <v>6000</v>
      </c>
      <c r="E27" s="179"/>
      <c r="F27" s="181">
        <v>22530</v>
      </c>
      <c r="G27" s="179"/>
    </row>
    <row r="28" spans="1:7" x14ac:dyDescent="0.35">
      <c r="A28" s="189"/>
      <c r="B28" s="192" t="s">
        <v>328</v>
      </c>
      <c r="C28" s="185"/>
      <c r="D28" s="179"/>
      <c r="E28" s="179"/>
      <c r="F28" s="180"/>
      <c r="G28" s="179">
        <v>15790</v>
      </c>
    </row>
    <row r="29" spans="1:7" x14ac:dyDescent="0.35">
      <c r="A29" s="189"/>
      <c r="B29" s="191">
        <v>17</v>
      </c>
      <c r="C29" s="185" t="s">
        <v>329</v>
      </c>
      <c r="D29" s="179">
        <v>8800</v>
      </c>
      <c r="E29" s="179"/>
      <c r="F29" s="181">
        <v>22530</v>
      </c>
      <c r="G29" s="179"/>
    </row>
    <row r="30" spans="1:7" x14ac:dyDescent="0.35">
      <c r="A30" s="189"/>
      <c r="B30" s="191">
        <v>18</v>
      </c>
      <c r="C30" s="185" t="s">
        <v>330</v>
      </c>
      <c r="D30" s="179">
        <v>6990</v>
      </c>
      <c r="E30" s="179"/>
      <c r="F30" s="181">
        <v>22530</v>
      </c>
      <c r="G30" s="179"/>
    </row>
    <row r="31" spans="1:7" x14ac:dyDescent="0.35">
      <c r="A31" s="189"/>
      <c r="B31" s="192" t="s">
        <v>331</v>
      </c>
      <c r="C31" s="185"/>
      <c r="D31" s="179"/>
      <c r="E31" s="179"/>
      <c r="F31" s="180"/>
      <c r="G31" s="179">
        <v>10970</v>
      </c>
    </row>
    <row r="32" spans="1:7" x14ac:dyDescent="0.35">
      <c r="A32" s="189"/>
      <c r="B32" s="191">
        <v>19</v>
      </c>
      <c r="C32" s="185" t="s">
        <v>332</v>
      </c>
      <c r="D32" s="179">
        <v>3690</v>
      </c>
      <c r="E32" s="179"/>
      <c r="F32" s="181">
        <v>22530</v>
      </c>
      <c r="G32" s="179"/>
    </row>
    <row r="33" spans="1:7" x14ac:dyDescent="0.35">
      <c r="A33" s="189"/>
      <c r="B33" s="191">
        <v>20</v>
      </c>
      <c r="C33" s="185" t="s">
        <v>333</v>
      </c>
      <c r="D33" s="179">
        <v>2890</v>
      </c>
      <c r="E33" s="179"/>
      <c r="F33" s="181">
        <v>22530</v>
      </c>
      <c r="G33" s="179"/>
    </row>
    <row r="34" spans="1:7" x14ac:dyDescent="0.35">
      <c r="A34" s="189"/>
      <c r="B34" s="191">
        <v>21</v>
      </c>
      <c r="C34" s="185" t="s">
        <v>334</v>
      </c>
      <c r="D34" s="179">
        <v>4390</v>
      </c>
      <c r="E34" s="179"/>
      <c r="F34" s="181">
        <v>22530</v>
      </c>
      <c r="G34" s="179"/>
    </row>
    <row r="35" spans="1:7" x14ac:dyDescent="0.35">
      <c r="A35" s="189"/>
      <c r="B35" s="192" t="s">
        <v>335</v>
      </c>
      <c r="C35" s="185"/>
      <c r="D35" s="179"/>
      <c r="E35" s="179"/>
      <c r="F35" s="180"/>
      <c r="G35" s="179">
        <v>85000</v>
      </c>
    </row>
    <row r="36" spans="1:7" x14ac:dyDescent="0.35">
      <c r="A36" s="189"/>
      <c r="B36" s="191">
        <v>22</v>
      </c>
      <c r="C36" s="185" t="s">
        <v>336</v>
      </c>
      <c r="D36" s="179">
        <v>85000</v>
      </c>
      <c r="E36" s="179"/>
      <c r="F36" s="181">
        <v>22552</v>
      </c>
      <c r="G36" s="179"/>
    </row>
    <row r="37" spans="1:7" x14ac:dyDescent="0.35">
      <c r="A37" s="189"/>
      <c r="B37" s="192" t="s">
        <v>342</v>
      </c>
      <c r="C37" s="185"/>
      <c r="D37" s="179"/>
      <c r="E37" s="179"/>
      <c r="F37" s="180"/>
      <c r="G37" s="179">
        <v>13000</v>
      </c>
    </row>
    <row r="38" spans="1:7" x14ac:dyDescent="0.35">
      <c r="A38" s="193"/>
      <c r="B38" s="194">
        <v>23</v>
      </c>
      <c r="C38" s="186" t="s">
        <v>341</v>
      </c>
      <c r="D38" s="182">
        <v>13000</v>
      </c>
      <c r="E38" s="182"/>
      <c r="F38" s="183">
        <v>22545</v>
      </c>
      <c r="G38" s="182"/>
    </row>
    <row r="39" spans="1:7" x14ac:dyDescent="0.35">
      <c r="D39" s="22">
        <f>SUM(D5:D38)</f>
        <v>500182</v>
      </c>
      <c r="E39" s="22">
        <f>SUM(E5:E38)</f>
        <v>1263800</v>
      </c>
      <c r="F39" s="200"/>
      <c r="G39" s="22">
        <f>D39+E39</f>
        <v>1763982</v>
      </c>
    </row>
    <row r="40" spans="1:7" x14ac:dyDescent="0.35">
      <c r="F40" s="161"/>
    </row>
    <row r="41" spans="1:7" x14ac:dyDescent="0.35">
      <c r="F41" s="161"/>
    </row>
    <row r="42" spans="1:7" x14ac:dyDescent="0.35">
      <c r="F42" s="161"/>
    </row>
    <row r="43" spans="1:7" x14ac:dyDescent="0.35">
      <c r="F43" s="161"/>
    </row>
    <row r="44" spans="1:7" x14ac:dyDescent="0.35">
      <c r="F44" s="161"/>
    </row>
    <row r="45" spans="1:7" x14ac:dyDescent="0.35">
      <c r="F45" s="161"/>
    </row>
    <row r="46" spans="1:7" x14ac:dyDescent="0.35">
      <c r="F46" s="161"/>
    </row>
    <row r="47" spans="1:7" x14ac:dyDescent="0.35">
      <c r="F47" s="161"/>
    </row>
    <row r="48" spans="1:7" x14ac:dyDescent="0.35">
      <c r="F48" s="161"/>
    </row>
    <row r="49" spans="6:7" s="1" customFormat="1" x14ac:dyDescent="0.35">
      <c r="F49" s="161"/>
      <c r="G49" s="164"/>
    </row>
    <row r="50" spans="6:7" s="1" customFormat="1" x14ac:dyDescent="0.35">
      <c r="F50" s="161"/>
      <c r="G50" s="164"/>
    </row>
    <row r="51" spans="6:7" s="1" customFormat="1" x14ac:dyDescent="0.35">
      <c r="F51" s="161"/>
      <c r="G51" s="164"/>
    </row>
    <row r="52" spans="6:7" s="1" customFormat="1" x14ac:dyDescent="0.35">
      <c r="F52" s="161"/>
      <c r="G52" s="164"/>
    </row>
    <row r="53" spans="6:7" s="1" customFormat="1" x14ac:dyDescent="0.35">
      <c r="F53" s="161"/>
      <c r="G53" s="164"/>
    </row>
    <row r="54" spans="6:7" s="1" customFormat="1" x14ac:dyDescent="0.35">
      <c r="F54" s="161"/>
      <c r="G54" s="164"/>
    </row>
    <row r="55" spans="6:7" s="1" customFormat="1" x14ac:dyDescent="0.35">
      <c r="F55" s="161"/>
      <c r="G55" s="164"/>
    </row>
    <row r="56" spans="6:7" s="1" customFormat="1" x14ac:dyDescent="0.35">
      <c r="F56" s="161"/>
      <c r="G56" s="164"/>
    </row>
    <row r="57" spans="6:7" s="1" customFormat="1" x14ac:dyDescent="0.35">
      <c r="F57" s="161"/>
      <c r="G57" s="164"/>
    </row>
    <row r="58" spans="6:7" s="1" customFormat="1" x14ac:dyDescent="0.35">
      <c r="F58" s="161"/>
      <c r="G58" s="164"/>
    </row>
    <row r="59" spans="6:7" s="1" customFormat="1" x14ac:dyDescent="0.35">
      <c r="F59" s="161"/>
      <c r="G59" s="164"/>
    </row>
    <row r="60" spans="6:7" s="1" customFormat="1" x14ac:dyDescent="0.35">
      <c r="F60" s="161"/>
      <c r="G60" s="164"/>
    </row>
    <row r="61" spans="6:7" s="1" customFormat="1" x14ac:dyDescent="0.35">
      <c r="F61" s="161"/>
      <c r="G61" s="164"/>
    </row>
    <row r="62" spans="6:7" s="1" customFormat="1" x14ac:dyDescent="0.35">
      <c r="F62" s="161"/>
      <c r="G62" s="164"/>
    </row>
    <row r="63" spans="6:7" s="1" customFormat="1" x14ac:dyDescent="0.35">
      <c r="F63" s="161"/>
      <c r="G63" s="164"/>
    </row>
    <row r="64" spans="6:7" s="1" customFormat="1" x14ac:dyDescent="0.35">
      <c r="F64" s="161"/>
      <c r="G64" s="164"/>
    </row>
    <row r="65" spans="6:7" s="1" customFormat="1" x14ac:dyDescent="0.35">
      <c r="F65" s="161"/>
      <c r="G65" s="164"/>
    </row>
    <row r="66" spans="6:7" s="1" customFormat="1" x14ac:dyDescent="0.35">
      <c r="F66" s="161"/>
      <c r="G66" s="164"/>
    </row>
    <row r="67" spans="6:7" s="1" customFormat="1" x14ac:dyDescent="0.35">
      <c r="F67" s="161"/>
      <c r="G67" s="164"/>
    </row>
    <row r="68" spans="6:7" s="1" customFormat="1" x14ac:dyDescent="0.35">
      <c r="F68" s="161"/>
      <c r="G68" s="164"/>
    </row>
    <row r="69" spans="6:7" s="1" customFormat="1" x14ac:dyDescent="0.35">
      <c r="F69" s="161"/>
      <c r="G69" s="164"/>
    </row>
    <row r="70" spans="6:7" s="1" customFormat="1" x14ac:dyDescent="0.35">
      <c r="F70" s="161"/>
      <c r="G70" s="164"/>
    </row>
    <row r="71" spans="6:7" s="1" customFormat="1" x14ac:dyDescent="0.35">
      <c r="F71" s="161"/>
      <c r="G71" s="164"/>
    </row>
    <row r="72" spans="6:7" s="1" customFormat="1" x14ac:dyDescent="0.35">
      <c r="F72" s="161"/>
      <c r="G72" s="164"/>
    </row>
    <row r="73" spans="6:7" s="1" customFormat="1" x14ac:dyDescent="0.35">
      <c r="F73" s="161"/>
      <c r="G73" s="164"/>
    </row>
    <row r="74" spans="6:7" s="1" customFormat="1" x14ac:dyDescent="0.35">
      <c r="F74" s="161"/>
      <c r="G74" s="164"/>
    </row>
    <row r="75" spans="6:7" s="1" customFormat="1" x14ac:dyDescent="0.35">
      <c r="F75" s="161"/>
      <c r="G75" s="164"/>
    </row>
    <row r="76" spans="6:7" s="1" customFormat="1" x14ac:dyDescent="0.35">
      <c r="F76" s="161"/>
      <c r="G76" s="164"/>
    </row>
    <row r="77" spans="6:7" s="1" customFormat="1" x14ac:dyDescent="0.35">
      <c r="F77" s="161"/>
      <c r="G77" s="164"/>
    </row>
    <row r="78" spans="6:7" s="1" customFormat="1" x14ac:dyDescent="0.35">
      <c r="F78" s="161"/>
      <c r="G78" s="164"/>
    </row>
    <row r="79" spans="6:7" s="1" customFormat="1" x14ac:dyDescent="0.35">
      <c r="F79" s="161"/>
      <c r="G79" s="164"/>
    </row>
    <row r="80" spans="6:7" s="1" customFormat="1" x14ac:dyDescent="0.35">
      <c r="F80" s="161"/>
      <c r="G80" s="164"/>
    </row>
    <row r="81" spans="6:7" s="1" customFormat="1" x14ac:dyDescent="0.35">
      <c r="F81" s="161"/>
      <c r="G81" s="164"/>
    </row>
    <row r="82" spans="6:7" s="1" customFormat="1" x14ac:dyDescent="0.35">
      <c r="F82" s="161"/>
      <c r="G82" s="164"/>
    </row>
    <row r="83" spans="6:7" s="1" customFormat="1" x14ac:dyDescent="0.35">
      <c r="F83" s="161"/>
      <c r="G83" s="164"/>
    </row>
    <row r="84" spans="6:7" s="1" customFormat="1" x14ac:dyDescent="0.35">
      <c r="F84" s="161"/>
      <c r="G84" s="164"/>
    </row>
    <row r="85" spans="6:7" s="1" customFormat="1" x14ac:dyDescent="0.35">
      <c r="F85" s="161"/>
      <c r="G85" s="164"/>
    </row>
    <row r="86" spans="6:7" s="1" customFormat="1" x14ac:dyDescent="0.35">
      <c r="F86" s="161"/>
      <c r="G86" s="164"/>
    </row>
    <row r="87" spans="6:7" s="1" customFormat="1" x14ac:dyDescent="0.35">
      <c r="F87" s="161"/>
      <c r="G87" s="164"/>
    </row>
    <row r="88" spans="6:7" s="1" customFormat="1" x14ac:dyDescent="0.35">
      <c r="F88" s="161"/>
      <c r="G88" s="164"/>
    </row>
    <row r="89" spans="6:7" s="1" customFormat="1" x14ac:dyDescent="0.35">
      <c r="F89" s="161"/>
      <c r="G89" s="164"/>
    </row>
    <row r="90" spans="6:7" s="1" customFormat="1" x14ac:dyDescent="0.35">
      <c r="F90" s="161"/>
      <c r="G90" s="164"/>
    </row>
    <row r="91" spans="6:7" s="1" customFormat="1" x14ac:dyDescent="0.35">
      <c r="F91" s="161"/>
      <c r="G91" s="164"/>
    </row>
    <row r="92" spans="6:7" s="1" customFormat="1" x14ac:dyDescent="0.35">
      <c r="F92" s="161"/>
      <c r="G92" s="164"/>
    </row>
    <row r="93" spans="6:7" s="1" customFormat="1" x14ac:dyDescent="0.35">
      <c r="F93" s="161"/>
      <c r="G93" s="164"/>
    </row>
    <row r="94" spans="6:7" s="1" customFormat="1" x14ac:dyDescent="0.35">
      <c r="F94" s="161"/>
      <c r="G94" s="164"/>
    </row>
    <row r="95" spans="6:7" s="1" customFormat="1" x14ac:dyDescent="0.35">
      <c r="F95" s="161"/>
      <c r="G95" s="164"/>
    </row>
    <row r="96" spans="6:7" s="1" customFormat="1" x14ac:dyDescent="0.35">
      <c r="F96" s="161"/>
      <c r="G96" s="164"/>
    </row>
    <row r="97" spans="6:7" s="1" customFormat="1" x14ac:dyDescent="0.35">
      <c r="F97" s="161"/>
      <c r="G97" s="164"/>
    </row>
    <row r="98" spans="6:7" s="1" customFormat="1" x14ac:dyDescent="0.35">
      <c r="F98" s="161"/>
      <c r="G98" s="164"/>
    </row>
    <row r="99" spans="6:7" s="1" customFormat="1" x14ac:dyDescent="0.35">
      <c r="F99" s="161"/>
      <c r="G99" s="164"/>
    </row>
    <row r="100" spans="6:7" s="1" customFormat="1" x14ac:dyDescent="0.35">
      <c r="F100" s="161"/>
      <c r="G100" s="164"/>
    </row>
    <row r="101" spans="6:7" s="1" customFormat="1" x14ac:dyDescent="0.35">
      <c r="F101" s="161"/>
      <c r="G101" s="164"/>
    </row>
    <row r="102" spans="6:7" s="1" customFormat="1" x14ac:dyDescent="0.35">
      <c r="F102" s="161"/>
      <c r="G102" s="164"/>
    </row>
    <row r="103" spans="6:7" s="1" customFormat="1" x14ac:dyDescent="0.35">
      <c r="F103" s="161"/>
      <c r="G103" s="164"/>
    </row>
    <row r="104" spans="6:7" s="1" customFormat="1" x14ac:dyDescent="0.35">
      <c r="F104" s="161"/>
      <c r="G104" s="164"/>
    </row>
    <row r="105" spans="6:7" s="1" customFormat="1" x14ac:dyDescent="0.35">
      <c r="F105" s="161"/>
      <c r="G105" s="164"/>
    </row>
    <row r="106" spans="6:7" s="1" customFormat="1" x14ac:dyDescent="0.35">
      <c r="F106" s="161"/>
      <c r="G106" s="164"/>
    </row>
    <row r="107" spans="6:7" s="1" customFormat="1" x14ac:dyDescent="0.35">
      <c r="F107" s="161"/>
      <c r="G107" s="164"/>
    </row>
    <row r="108" spans="6:7" s="1" customFormat="1" x14ac:dyDescent="0.35">
      <c r="F108" s="161"/>
      <c r="G108" s="164"/>
    </row>
    <row r="109" spans="6:7" s="1" customFormat="1" x14ac:dyDescent="0.35">
      <c r="F109" s="161"/>
      <c r="G109" s="164"/>
    </row>
    <row r="110" spans="6:7" s="1" customFormat="1" x14ac:dyDescent="0.35">
      <c r="F110" s="161"/>
      <c r="G110" s="164"/>
    </row>
    <row r="111" spans="6:7" s="1" customFormat="1" x14ac:dyDescent="0.35">
      <c r="F111" s="161"/>
      <c r="G111" s="164"/>
    </row>
    <row r="112" spans="6:7" s="1" customFormat="1" x14ac:dyDescent="0.35">
      <c r="F112" s="161"/>
      <c r="G112" s="164"/>
    </row>
    <row r="113" spans="6:7" s="1" customFormat="1" x14ac:dyDescent="0.35">
      <c r="F113" s="161"/>
      <c r="G113" s="164"/>
    </row>
    <row r="114" spans="6:7" s="1" customFormat="1" x14ac:dyDescent="0.35">
      <c r="F114" s="161"/>
      <c r="G114" s="164"/>
    </row>
    <row r="115" spans="6:7" s="1" customFormat="1" x14ac:dyDescent="0.35">
      <c r="F115" s="161"/>
      <c r="G115" s="164"/>
    </row>
    <row r="116" spans="6:7" s="1" customFormat="1" x14ac:dyDescent="0.35">
      <c r="F116" s="161"/>
      <c r="G116" s="164"/>
    </row>
    <row r="117" spans="6:7" s="1" customFormat="1" x14ac:dyDescent="0.35">
      <c r="F117" s="161"/>
      <c r="G117" s="164"/>
    </row>
    <row r="118" spans="6:7" s="1" customFormat="1" x14ac:dyDescent="0.35">
      <c r="F118" s="161"/>
      <c r="G118" s="164"/>
    </row>
    <row r="119" spans="6:7" s="1" customFormat="1" x14ac:dyDescent="0.35">
      <c r="F119" s="161"/>
      <c r="G119" s="164"/>
    </row>
    <row r="120" spans="6:7" s="1" customFormat="1" x14ac:dyDescent="0.35">
      <c r="F120" s="161"/>
      <c r="G120" s="164"/>
    </row>
    <row r="121" spans="6:7" s="1" customFormat="1" x14ac:dyDescent="0.35">
      <c r="F121" s="161"/>
      <c r="G121" s="164"/>
    </row>
    <row r="122" spans="6:7" s="1" customFormat="1" x14ac:dyDescent="0.35">
      <c r="F122" s="161"/>
      <c r="G122" s="164"/>
    </row>
    <row r="123" spans="6:7" s="1" customFormat="1" x14ac:dyDescent="0.35">
      <c r="F123" s="161"/>
      <c r="G123" s="164"/>
    </row>
    <row r="124" spans="6:7" s="1" customFormat="1" x14ac:dyDescent="0.35">
      <c r="F124" s="161"/>
      <c r="G124" s="164"/>
    </row>
    <row r="125" spans="6:7" s="1" customFormat="1" x14ac:dyDescent="0.35">
      <c r="F125" s="161"/>
      <c r="G125" s="164"/>
    </row>
    <row r="126" spans="6:7" s="1" customFormat="1" x14ac:dyDescent="0.35">
      <c r="F126" s="161"/>
      <c r="G126" s="164"/>
    </row>
    <row r="127" spans="6:7" s="1" customFormat="1" x14ac:dyDescent="0.35">
      <c r="F127" s="161"/>
      <c r="G127" s="164"/>
    </row>
    <row r="128" spans="6:7" s="1" customFormat="1" x14ac:dyDescent="0.35">
      <c r="F128" s="161"/>
      <c r="G128" s="164"/>
    </row>
    <row r="129" spans="6:7" s="1" customFormat="1" x14ac:dyDescent="0.35">
      <c r="F129" s="161"/>
      <c r="G129" s="164"/>
    </row>
    <row r="130" spans="6:7" s="1" customFormat="1" x14ac:dyDescent="0.35">
      <c r="F130" s="161"/>
      <c r="G130" s="164"/>
    </row>
    <row r="131" spans="6:7" s="1" customFormat="1" x14ac:dyDescent="0.35">
      <c r="F131" s="161"/>
      <c r="G131" s="164"/>
    </row>
    <row r="132" spans="6:7" s="1" customFormat="1" x14ac:dyDescent="0.35">
      <c r="F132" s="161"/>
      <c r="G132" s="164"/>
    </row>
    <row r="133" spans="6:7" s="1" customFormat="1" x14ac:dyDescent="0.35">
      <c r="F133" s="161"/>
      <c r="G133" s="164"/>
    </row>
    <row r="134" spans="6:7" s="1" customFormat="1" x14ac:dyDescent="0.35">
      <c r="F134" s="161"/>
      <c r="G134" s="164"/>
    </row>
    <row r="135" spans="6:7" s="1" customFormat="1" x14ac:dyDescent="0.35">
      <c r="F135" s="161"/>
      <c r="G135" s="164"/>
    </row>
    <row r="136" spans="6:7" s="1" customFormat="1" x14ac:dyDescent="0.35">
      <c r="F136" s="161"/>
      <c r="G136" s="164"/>
    </row>
    <row r="137" spans="6:7" s="1" customFormat="1" x14ac:dyDescent="0.35">
      <c r="F137" s="161"/>
      <c r="G137" s="164"/>
    </row>
    <row r="138" spans="6:7" s="1" customFormat="1" x14ac:dyDescent="0.35">
      <c r="F138" s="161"/>
      <c r="G138" s="164"/>
    </row>
    <row r="139" spans="6:7" s="1" customFormat="1" x14ac:dyDescent="0.35">
      <c r="F139" s="161"/>
      <c r="G139" s="164"/>
    </row>
    <row r="140" spans="6:7" s="1" customFormat="1" x14ac:dyDescent="0.35">
      <c r="F140" s="161"/>
      <c r="G140" s="164"/>
    </row>
    <row r="141" spans="6:7" s="1" customFormat="1" x14ac:dyDescent="0.35">
      <c r="F141" s="161"/>
      <c r="G141" s="164"/>
    </row>
    <row r="142" spans="6:7" s="1" customFormat="1" x14ac:dyDescent="0.35">
      <c r="F142" s="161"/>
      <c r="G142" s="164"/>
    </row>
    <row r="143" spans="6:7" s="1" customFormat="1" x14ac:dyDescent="0.35">
      <c r="F143" s="161"/>
      <c r="G143" s="164"/>
    </row>
    <row r="144" spans="6:7" s="1" customFormat="1" x14ac:dyDescent="0.35">
      <c r="F144" s="161"/>
      <c r="G144" s="164"/>
    </row>
  </sheetData>
  <mergeCells count="3">
    <mergeCell ref="A4:C4"/>
    <mergeCell ref="A1:G1"/>
    <mergeCell ref="A2:G2"/>
  </mergeCells>
  <pageMargins left="0.78740157480314965" right="0.39370078740157483" top="0.19685039370078741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1" workbookViewId="0">
      <selection activeCell="N44" sqref="N44"/>
    </sheetView>
  </sheetViews>
  <sheetFormatPr defaultRowHeight="21" x14ac:dyDescent="0.35"/>
  <cols>
    <col min="1" max="1" width="9.625" style="1" customWidth="1"/>
    <col min="2" max="2" width="22.625" style="1" customWidth="1"/>
    <col min="3" max="4" width="8.625" style="1" customWidth="1"/>
    <col min="5" max="5" width="13.625" style="3" customWidth="1"/>
    <col min="6" max="6" width="7.625" style="1" customWidth="1"/>
    <col min="7" max="7" width="8.625" style="1" customWidth="1"/>
    <col min="8" max="8" width="12.625" style="1" customWidth="1"/>
    <col min="9" max="16384" width="9" style="1"/>
  </cols>
  <sheetData>
    <row r="1" spans="1:8" ht="23.25" x14ac:dyDescent="0.35">
      <c r="A1" s="201" t="s">
        <v>59</v>
      </c>
      <c r="B1" s="201"/>
      <c r="C1" s="201"/>
      <c r="D1" s="201"/>
      <c r="E1" s="201"/>
      <c r="F1" s="201"/>
      <c r="G1" s="201"/>
      <c r="H1" s="201"/>
    </row>
    <row r="2" spans="1:8" ht="23.25" x14ac:dyDescent="0.35">
      <c r="A2" s="201" t="s">
        <v>22</v>
      </c>
      <c r="B2" s="201"/>
      <c r="C2" s="201"/>
      <c r="D2" s="201"/>
      <c r="E2" s="201"/>
      <c r="F2" s="201"/>
      <c r="G2" s="201"/>
      <c r="H2" s="201"/>
    </row>
    <row r="3" spans="1:8" ht="23.25" x14ac:dyDescent="0.35">
      <c r="A3" s="201" t="s">
        <v>205</v>
      </c>
      <c r="B3" s="201"/>
      <c r="C3" s="201"/>
      <c r="D3" s="201"/>
      <c r="E3" s="201"/>
      <c r="F3" s="201"/>
      <c r="G3" s="201"/>
      <c r="H3" s="201"/>
    </row>
    <row r="5" spans="1:8" x14ac:dyDescent="0.35">
      <c r="A5" s="8" t="s">
        <v>23</v>
      </c>
      <c r="B5" s="8" t="s">
        <v>21</v>
      </c>
      <c r="C5" s="8"/>
      <c r="D5" s="8"/>
      <c r="E5" s="72" t="s">
        <v>202</v>
      </c>
      <c r="G5" s="210" t="s">
        <v>203</v>
      </c>
      <c r="H5" s="210"/>
    </row>
    <row r="6" spans="1:8" x14ac:dyDescent="0.35">
      <c r="A6" s="10"/>
      <c r="B6" s="10" t="s">
        <v>102</v>
      </c>
      <c r="C6" s="10"/>
      <c r="D6" s="10"/>
      <c r="E6" s="11">
        <v>13848608.039999999</v>
      </c>
      <c r="G6" s="211">
        <v>13745541.699999999</v>
      </c>
      <c r="H6" s="211"/>
    </row>
    <row r="7" spans="1:8" x14ac:dyDescent="0.35">
      <c r="A7" s="10"/>
      <c r="B7" s="10" t="s">
        <v>104</v>
      </c>
      <c r="C7" s="12"/>
      <c r="D7" s="12"/>
      <c r="E7" s="11">
        <v>319103.26</v>
      </c>
      <c r="G7" s="211">
        <v>320400.17</v>
      </c>
      <c r="H7" s="211"/>
    </row>
    <row r="8" spans="1:8" x14ac:dyDescent="0.35">
      <c r="A8" s="10"/>
      <c r="B8" s="10" t="s">
        <v>105</v>
      </c>
      <c r="C8" s="12"/>
      <c r="D8" s="12"/>
      <c r="E8" s="11">
        <v>756.57</v>
      </c>
      <c r="G8" s="211">
        <v>800.18</v>
      </c>
      <c r="H8" s="211"/>
    </row>
    <row r="9" spans="1:8" x14ac:dyDescent="0.35">
      <c r="A9" s="10"/>
      <c r="B9" s="10" t="s">
        <v>106</v>
      </c>
      <c r="C9" s="12"/>
      <c r="D9" s="12"/>
      <c r="E9" s="11">
        <v>2250645.7999999998</v>
      </c>
      <c r="G9" s="211">
        <v>2270970.0699999998</v>
      </c>
      <c r="H9" s="211"/>
    </row>
    <row r="10" spans="1:8" x14ac:dyDescent="0.35">
      <c r="A10" s="10"/>
      <c r="B10" s="10" t="s">
        <v>103</v>
      </c>
      <c r="C10" s="12"/>
      <c r="D10" s="12"/>
      <c r="E10" s="11">
        <v>14610612.529999999</v>
      </c>
      <c r="G10" s="211">
        <v>15181222.07</v>
      </c>
      <c r="H10" s="211"/>
    </row>
    <row r="11" spans="1:8" ht="21.75" thickBot="1" x14ac:dyDescent="0.4">
      <c r="A11" s="10"/>
      <c r="B11" s="13" t="s">
        <v>24</v>
      </c>
      <c r="C11" s="13"/>
      <c r="D11" s="13"/>
      <c r="E11" s="14">
        <f>SUM(E6:E10)</f>
        <v>31029726.199999996</v>
      </c>
      <c r="G11" s="212">
        <f>SUM(G6:G10)</f>
        <v>31518934.189999998</v>
      </c>
      <c r="H11" s="212"/>
    </row>
    <row r="12" spans="1:8" ht="21.75" thickTop="1" x14ac:dyDescent="0.35">
      <c r="A12" s="10"/>
      <c r="B12" s="10"/>
      <c r="C12" s="10"/>
      <c r="D12" s="10"/>
      <c r="E12" s="11"/>
    </row>
    <row r="13" spans="1:8" x14ac:dyDescent="0.35">
      <c r="A13" s="8" t="s">
        <v>25</v>
      </c>
      <c r="B13" s="8" t="s">
        <v>27</v>
      </c>
      <c r="C13" s="13"/>
      <c r="D13" s="13"/>
      <c r="E13" s="11"/>
    </row>
    <row r="14" spans="1:8" x14ac:dyDescent="0.35">
      <c r="A14" s="8"/>
      <c r="B14" s="205" t="s">
        <v>28</v>
      </c>
      <c r="C14" s="207" t="s">
        <v>202</v>
      </c>
      <c r="D14" s="208"/>
      <c r="E14" s="209"/>
      <c r="F14" s="207" t="s">
        <v>203</v>
      </c>
      <c r="G14" s="208"/>
      <c r="H14" s="209"/>
    </row>
    <row r="15" spans="1:8" x14ac:dyDescent="0.35">
      <c r="B15" s="206"/>
      <c r="C15" s="63" t="s">
        <v>29</v>
      </c>
      <c r="D15" s="15" t="s">
        <v>30</v>
      </c>
      <c r="E15" s="16" t="s">
        <v>31</v>
      </c>
      <c r="F15" s="63" t="s">
        <v>29</v>
      </c>
      <c r="G15" s="15" t="s">
        <v>30</v>
      </c>
      <c r="H15" s="16" t="s">
        <v>31</v>
      </c>
    </row>
    <row r="16" spans="1:8" x14ac:dyDescent="0.35">
      <c r="B16" s="17" t="s">
        <v>144</v>
      </c>
      <c r="C16" s="19">
        <v>2560</v>
      </c>
      <c r="D16" s="77">
        <v>5</v>
      </c>
      <c r="E16" s="18">
        <v>155578.42000000001</v>
      </c>
      <c r="F16" s="19">
        <v>2560</v>
      </c>
      <c r="G16" s="77">
        <v>1</v>
      </c>
      <c r="H16" s="18">
        <v>12821</v>
      </c>
    </row>
    <row r="17" spans="1:8" x14ac:dyDescent="0.35">
      <c r="B17" s="17"/>
      <c r="C17" s="78"/>
      <c r="D17" s="21"/>
      <c r="E17" s="9"/>
      <c r="F17" s="20">
        <v>2561</v>
      </c>
      <c r="G17" s="21">
        <v>7</v>
      </c>
      <c r="H17" s="9">
        <v>83313</v>
      </c>
    </row>
    <row r="18" spans="1:8" x14ac:dyDescent="0.35">
      <c r="B18" s="202" t="s">
        <v>24</v>
      </c>
      <c r="C18" s="203"/>
      <c r="D18" s="35">
        <f>SUM(D16:D16)</f>
        <v>5</v>
      </c>
      <c r="E18" s="22">
        <f>SUM(E16:E16)</f>
        <v>155578.42000000001</v>
      </c>
      <c r="F18" s="80"/>
      <c r="G18" s="62">
        <f>SUM(G16:G16)</f>
        <v>1</v>
      </c>
      <c r="H18" s="22">
        <f>SUM(H16:H17)</f>
        <v>96134</v>
      </c>
    </row>
    <row r="19" spans="1:8" x14ac:dyDescent="0.35">
      <c r="B19" s="17" t="s">
        <v>3</v>
      </c>
      <c r="C19" s="19">
        <v>2555</v>
      </c>
      <c r="D19" s="21">
        <v>28</v>
      </c>
      <c r="E19" s="18">
        <v>1366.15</v>
      </c>
      <c r="F19" s="19">
        <v>2555</v>
      </c>
      <c r="G19" s="21">
        <v>27</v>
      </c>
      <c r="H19" s="18">
        <v>1300.29</v>
      </c>
    </row>
    <row r="20" spans="1:8" x14ac:dyDescent="0.35">
      <c r="B20" s="17"/>
      <c r="C20" s="20">
        <v>2556</v>
      </c>
      <c r="D20" s="21">
        <v>38</v>
      </c>
      <c r="E20" s="9">
        <v>2366.5100000000002</v>
      </c>
      <c r="F20" s="20">
        <v>2556</v>
      </c>
      <c r="G20" s="21">
        <v>38</v>
      </c>
      <c r="H20" s="9">
        <v>2300.65</v>
      </c>
    </row>
    <row r="21" spans="1:8" x14ac:dyDescent="0.35">
      <c r="B21" s="17"/>
      <c r="C21" s="20">
        <v>2557</v>
      </c>
      <c r="D21" s="21">
        <v>36</v>
      </c>
      <c r="E21" s="9">
        <v>2194.7399999999998</v>
      </c>
      <c r="F21" s="20">
        <v>2557</v>
      </c>
      <c r="G21" s="21">
        <v>36</v>
      </c>
      <c r="H21" s="9">
        <v>2128.88</v>
      </c>
    </row>
    <row r="22" spans="1:8" x14ac:dyDescent="0.35">
      <c r="B22" s="17"/>
      <c r="C22" s="20">
        <v>2558</v>
      </c>
      <c r="D22" s="21">
        <v>87</v>
      </c>
      <c r="E22" s="9">
        <v>4785.53</v>
      </c>
      <c r="F22" s="20">
        <v>2558</v>
      </c>
      <c r="G22" s="21">
        <v>83</v>
      </c>
      <c r="H22" s="9">
        <v>4694.75</v>
      </c>
    </row>
    <row r="23" spans="1:8" x14ac:dyDescent="0.35">
      <c r="B23" s="17"/>
      <c r="C23" s="20">
        <v>2559</v>
      </c>
      <c r="D23" s="21">
        <v>113</v>
      </c>
      <c r="E23" s="9">
        <v>7822.21</v>
      </c>
      <c r="F23" s="20">
        <v>2559</v>
      </c>
      <c r="G23" s="21">
        <v>102</v>
      </c>
      <c r="H23" s="9">
        <v>7588.14</v>
      </c>
    </row>
    <row r="24" spans="1:8" x14ac:dyDescent="0.35">
      <c r="B24" s="17"/>
      <c r="C24" s="20">
        <v>2560</v>
      </c>
      <c r="D24" s="21">
        <v>163</v>
      </c>
      <c r="E24" s="9">
        <v>10244.790000000001</v>
      </c>
      <c r="F24" s="20">
        <v>2560</v>
      </c>
      <c r="G24" s="21">
        <v>140</v>
      </c>
      <c r="H24" s="9">
        <v>9246.2099999999991</v>
      </c>
    </row>
    <row r="25" spans="1:8" x14ac:dyDescent="0.35">
      <c r="B25" s="17"/>
      <c r="C25" s="20"/>
      <c r="D25" s="21"/>
      <c r="E25" s="9"/>
      <c r="F25" s="20">
        <v>2561</v>
      </c>
      <c r="G25" s="21">
        <v>1</v>
      </c>
      <c r="H25" s="9">
        <v>88.11</v>
      </c>
    </row>
    <row r="26" spans="1:8" x14ac:dyDescent="0.35">
      <c r="B26" s="202" t="s">
        <v>24</v>
      </c>
      <c r="C26" s="203"/>
      <c r="D26" s="23">
        <f>SUM(D19:D25)</f>
        <v>465</v>
      </c>
      <c r="E26" s="22">
        <f>SUM(E19:E25)</f>
        <v>28779.93</v>
      </c>
      <c r="F26" s="80"/>
      <c r="G26" s="82"/>
      <c r="H26" s="86">
        <f>SUM(H19:H25)</f>
        <v>27347.03</v>
      </c>
    </row>
    <row r="27" spans="1:8" x14ac:dyDescent="0.35">
      <c r="B27" s="17" t="s">
        <v>145</v>
      </c>
      <c r="C27" s="19">
        <v>2560</v>
      </c>
      <c r="D27" s="21">
        <v>4</v>
      </c>
      <c r="E27" s="18">
        <v>3590</v>
      </c>
      <c r="F27" s="17"/>
      <c r="G27" s="81"/>
      <c r="H27" s="9">
        <v>0</v>
      </c>
    </row>
    <row r="28" spans="1:8" x14ac:dyDescent="0.35">
      <c r="B28" s="202" t="s">
        <v>24</v>
      </c>
      <c r="C28" s="203"/>
      <c r="D28" s="35">
        <f>SUM(D27:D27)</f>
        <v>4</v>
      </c>
      <c r="E28" s="22">
        <f>SUM(E27:E27)</f>
        <v>3590</v>
      </c>
      <c r="F28" s="80"/>
      <c r="G28" s="82"/>
      <c r="H28" s="22">
        <v>0</v>
      </c>
    </row>
    <row r="29" spans="1:8" x14ac:dyDescent="0.35">
      <c r="B29" s="202" t="s">
        <v>147</v>
      </c>
      <c r="C29" s="203"/>
      <c r="D29" s="36"/>
      <c r="E29" s="22">
        <f>E18+E26+E28</f>
        <v>187948.35</v>
      </c>
      <c r="F29" s="37"/>
      <c r="G29" s="83"/>
      <c r="H29" s="87">
        <f>H18+H26+H28</f>
        <v>123481.03</v>
      </c>
    </row>
    <row r="30" spans="1:8" x14ac:dyDescent="0.35">
      <c r="B30" s="21"/>
      <c r="C30" s="21"/>
      <c r="D30" s="21"/>
      <c r="E30" s="11"/>
    </row>
    <row r="31" spans="1:8" x14ac:dyDescent="0.35">
      <c r="A31" s="8" t="s">
        <v>26</v>
      </c>
      <c r="B31" s="8" t="s">
        <v>4</v>
      </c>
      <c r="E31" s="72" t="s">
        <v>202</v>
      </c>
      <c r="G31" s="76"/>
      <c r="H31" s="76" t="s">
        <v>203</v>
      </c>
    </row>
    <row r="32" spans="1:8" x14ac:dyDescent="0.35">
      <c r="B32" s="1" t="s">
        <v>32</v>
      </c>
      <c r="E32" s="3">
        <v>13680</v>
      </c>
      <c r="G32" s="84"/>
      <c r="H32" s="84">
        <v>4575</v>
      </c>
    </row>
    <row r="33" spans="1:8" x14ac:dyDescent="0.35">
      <c r="B33" s="1" t="s">
        <v>33</v>
      </c>
      <c r="E33" s="3">
        <v>25330</v>
      </c>
      <c r="G33" s="84"/>
      <c r="H33" s="84">
        <v>19010</v>
      </c>
    </row>
    <row r="34" spans="1:8" x14ac:dyDescent="0.35">
      <c r="B34" s="1" t="s">
        <v>146</v>
      </c>
      <c r="E34" s="3">
        <v>17100</v>
      </c>
      <c r="G34" s="84"/>
      <c r="H34" s="84">
        <v>0</v>
      </c>
    </row>
    <row r="35" spans="1:8" ht="21.75" thickBot="1" x14ac:dyDescent="0.4">
      <c r="B35" s="8" t="s">
        <v>24</v>
      </c>
      <c r="E35" s="14">
        <f>SUM(E32:E34)</f>
        <v>56110</v>
      </c>
      <c r="G35" s="84"/>
      <c r="H35" s="85">
        <f>SUM(H32:H34)</f>
        <v>23585</v>
      </c>
    </row>
    <row r="36" spans="1:8" ht="21.75" thickTop="1" x14ac:dyDescent="0.35"/>
    <row r="37" spans="1:8" ht="23.25" x14ac:dyDescent="0.35">
      <c r="A37" s="201" t="s">
        <v>59</v>
      </c>
      <c r="B37" s="201"/>
      <c r="C37" s="201"/>
      <c r="D37" s="201"/>
      <c r="E37" s="201"/>
      <c r="F37" s="201"/>
      <c r="G37" s="201"/>
      <c r="H37" s="201"/>
    </row>
    <row r="38" spans="1:8" ht="23.25" x14ac:dyDescent="0.35">
      <c r="A38" s="201" t="s">
        <v>22</v>
      </c>
      <c r="B38" s="201"/>
      <c r="C38" s="201"/>
      <c r="D38" s="201"/>
      <c r="E38" s="201"/>
      <c r="F38" s="201"/>
      <c r="G38" s="201"/>
      <c r="H38" s="201"/>
    </row>
    <row r="39" spans="1:8" ht="23.25" x14ac:dyDescent="0.35">
      <c r="A39" s="201" t="s">
        <v>205</v>
      </c>
      <c r="B39" s="201"/>
      <c r="C39" s="201"/>
      <c r="D39" s="201"/>
      <c r="E39" s="201"/>
      <c r="F39" s="201"/>
      <c r="G39" s="201"/>
      <c r="H39" s="201"/>
    </row>
    <row r="40" spans="1:8" x14ac:dyDescent="0.35">
      <c r="E40" s="84"/>
    </row>
    <row r="41" spans="1:8" ht="21.95" customHeight="1" x14ac:dyDescent="0.35">
      <c r="A41" s="8" t="s">
        <v>34</v>
      </c>
      <c r="B41" s="8" t="s">
        <v>175</v>
      </c>
    </row>
    <row r="42" spans="1:8" ht="9.9499999999999993" customHeight="1" x14ac:dyDescent="0.35">
      <c r="A42" s="8"/>
      <c r="B42" s="8"/>
      <c r="E42" s="84"/>
    </row>
    <row r="43" spans="1:8" ht="21.95" customHeight="1" x14ac:dyDescent="0.35">
      <c r="B43" s="1" t="s">
        <v>271</v>
      </c>
    </row>
    <row r="44" spans="1:8" ht="21.95" customHeight="1" x14ac:dyDescent="0.35">
      <c r="B44" s="202" t="s">
        <v>280</v>
      </c>
      <c r="C44" s="203"/>
      <c r="D44" s="202" t="s">
        <v>281</v>
      </c>
      <c r="E44" s="204"/>
      <c r="F44" s="204"/>
      <c r="G44" s="155"/>
      <c r="H44" s="15" t="s">
        <v>31</v>
      </c>
    </row>
    <row r="45" spans="1:8" s="10" customFormat="1" ht="21.95" customHeight="1" x14ac:dyDescent="0.35">
      <c r="B45" s="152" t="s">
        <v>277</v>
      </c>
      <c r="C45" s="79"/>
      <c r="D45" s="152" t="s">
        <v>279</v>
      </c>
      <c r="E45" s="11"/>
      <c r="G45" s="79"/>
      <c r="H45" s="9">
        <v>100000</v>
      </c>
    </row>
    <row r="46" spans="1:8" s="10" customFormat="1" ht="21.95" customHeight="1" x14ac:dyDescent="0.35">
      <c r="B46" s="152" t="s">
        <v>278</v>
      </c>
      <c r="C46" s="79"/>
      <c r="D46" s="152" t="s">
        <v>272</v>
      </c>
      <c r="E46" s="11"/>
      <c r="G46" s="79"/>
      <c r="H46" s="9">
        <v>100000</v>
      </c>
    </row>
    <row r="47" spans="1:8" s="10" customFormat="1" ht="21.95" customHeight="1" x14ac:dyDescent="0.35">
      <c r="B47" s="152" t="s">
        <v>273</v>
      </c>
      <c r="C47" s="79"/>
      <c r="D47" s="152" t="s">
        <v>274</v>
      </c>
      <c r="E47" s="11"/>
      <c r="G47" s="79"/>
      <c r="H47" s="9">
        <v>100000</v>
      </c>
    </row>
    <row r="48" spans="1:8" s="10" customFormat="1" ht="21.95" customHeight="1" x14ac:dyDescent="0.35">
      <c r="B48" s="153" t="s">
        <v>275</v>
      </c>
      <c r="C48" s="154"/>
      <c r="D48" s="153" t="s">
        <v>276</v>
      </c>
      <c r="E48" s="30"/>
      <c r="F48" s="38"/>
      <c r="G48" s="154"/>
      <c r="H48" s="9">
        <v>100000</v>
      </c>
    </row>
    <row r="49" spans="2:8" x14ac:dyDescent="0.35">
      <c r="E49" s="3" t="s">
        <v>24</v>
      </c>
      <c r="H49" s="86">
        <f>SUM(H45:H48)</f>
        <v>400000</v>
      </c>
    </row>
    <row r="51" spans="2:8" x14ac:dyDescent="0.35">
      <c r="B51" s="1" t="s">
        <v>282</v>
      </c>
      <c r="E51" s="84"/>
    </row>
    <row r="52" spans="2:8" x14ac:dyDescent="0.35">
      <c r="B52" s="202" t="s">
        <v>280</v>
      </c>
      <c r="C52" s="203"/>
      <c r="D52" s="202" t="s">
        <v>281</v>
      </c>
      <c r="E52" s="204"/>
      <c r="F52" s="204"/>
      <c r="G52" s="155"/>
      <c r="H52" s="15" t="s">
        <v>31</v>
      </c>
    </row>
    <row r="53" spans="2:8" x14ac:dyDescent="0.35">
      <c r="B53" s="152" t="s">
        <v>277</v>
      </c>
      <c r="C53" s="79"/>
      <c r="D53" s="152" t="s">
        <v>279</v>
      </c>
      <c r="E53" s="11"/>
      <c r="F53" s="10"/>
      <c r="G53" s="79"/>
      <c r="H53" s="9">
        <v>100000</v>
      </c>
    </row>
    <row r="54" spans="2:8" x14ac:dyDescent="0.35">
      <c r="B54" s="152" t="s">
        <v>278</v>
      </c>
      <c r="C54" s="79"/>
      <c r="D54" s="152" t="s">
        <v>272</v>
      </c>
      <c r="E54" s="11"/>
      <c r="F54" s="10"/>
      <c r="G54" s="79"/>
      <c r="H54" s="9">
        <v>100000</v>
      </c>
    </row>
    <row r="55" spans="2:8" x14ac:dyDescent="0.35">
      <c r="B55" s="152" t="s">
        <v>273</v>
      </c>
      <c r="C55" s="79"/>
      <c r="D55" s="152" t="s">
        <v>274</v>
      </c>
      <c r="E55" s="11"/>
      <c r="F55" s="10"/>
      <c r="G55" s="79"/>
      <c r="H55" s="9">
        <v>100000</v>
      </c>
    </row>
    <row r="56" spans="2:8" x14ac:dyDescent="0.35">
      <c r="B56" s="153" t="s">
        <v>275</v>
      </c>
      <c r="C56" s="154"/>
      <c r="D56" s="153" t="s">
        <v>276</v>
      </c>
      <c r="E56" s="30"/>
      <c r="F56" s="38"/>
      <c r="G56" s="154"/>
      <c r="H56" s="9">
        <v>100000</v>
      </c>
    </row>
    <row r="57" spans="2:8" x14ac:dyDescent="0.35">
      <c r="E57" s="84" t="s">
        <v>24</v>
      </c>
      <c r="H57" s="86">
        <f>SUM(H53:H56)</f>
        <v>400000</v>
      </c>
    </row>
  </sheetData>
  <mergeCells count="24">
    <mergeCell ref="B18:C18"/>
    <mergeCell ref="B14:B15"/>
    <mergeCell ref="C14:E14"/>
    <mergeCell ref="A1:H1"/>
    <mergeCell ref="A2:H2"/>
    <mergeCell ref="A3:H3"/>
    <mergeCell ref="F14:H14"/>
    <mergeCell ref="G5:H5"/>
    <mergeCell ref="G6:H6"/>
    <mergeCell ref="G7:H7"/>
    <mergeCell ref="G8:H8"/>
    <mergeCell ref="G9:H9"/>
    <mergeCell ref="G10:H10"/>
    <mergeCell ref="G11:H11"/>
    <mergeCell ref="B52:C52"/>
    <mergeCell ref="D52:F52"/>
    <mergeCell ref="B28:C28"/>
    <mergeCell ref="B29:C29"/>
    <mergeCell ref="B26:C26"/>
    <mergeCell ref="A37:H37"/>
    <mergeCell ref="A38:H38"/>
    <mergeCell ref="A39:H39"/>
    <mergeCell ref="B44:C44"/>
    <mergeCell ref="D44:F44"/>
  </mergeCells>
  <pageMargins left="0.39370078740157483" right="0.19685039370078741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26" sqref="F26"/>
    </sheetView>
  </sheetViews>
  <sheetFormatPr defaultRowHeight="21" x14ac:dyDescent="0.35"/>
  <cols>
    <col min="1" max="1" width="10.625" style="1" customWidth="1"/>
    <col min="2" max="2" width="12.625" style="1" customWidth="1"/>
    <col min="3" max="3" width="14.625" style="1" customWidth="1"/>
    <col min="4" max="4" width="16.625" style="1" customWidth="1"/>
    <col min="5" max="5" width="20.625" style="1" customWidth="1"/>
    <col min="6" max="6" width="34.625" style="1" customWidth="1"/>
    <col min="7" max="7" width="13.625" style="3" customWidth="1"/>
    <col min="8" max="16384" width="9" style="1"/>
  </cols>
  <sheetData>
    <row r="1" spans="1:7" ht="24.95" customHeight="1" x14ac:dyDescent="0.35">
      <c r="A1" s="201" t="s">
        <v>59</v>
      </c>
      <c r="B1" s="201"/>
      <c r="C1" s="201"/>
      <c r="D1" s="201"/>
      <c r="E1" s="201"/>
      <c r="F1" s="201"/>
      <c r="G1" s="201"/>
    </row>
    <row r="2" spans="1:7" ht="24.95" customHeight="1" x14ac:dyDescent="0.35">
      <c r="A2" s="201" t="s">
        <v>22</v>
      </c>
      <c r="B2" s="201"/>
      <c r="C2" s="201"/>
      <c r="D2" s="201"/>
      <c r="E2" s="201"/>
      <c r="F2" s="201"/>
      <c r="G2" s="201"/>
    </row>
    <row r="3" spans="1:7" ht="24.95" customHeight="1" x14ac:dyDescent="0.35">
      <c r="A3" s="201" t="s">
        <v>205</v>
      </c>
      <c r="B3" s="201"/>
      <c r="C3" s="201"/>
      <c r="D3" s="201"/>
      <c r="E3" s="201"/>
      <c r="F3" s="201"/>
      <c r="G3" s="201"/>
    </row>
    <row r="4" spans="1:7" ht="15" customHeight="1" x14ac:dyDescent="0.35"/>
    <row r="5" spans="1:7" x14ac:dyDescent="0.35">
      <c r="A5" s="8" t="s">
        <v>35</v>
      </c>
      <c r="B5" s="8" t="s">
        <v>11</v>
      </c>
    </row>
    <row r="6" spans="1:7" ht="5.0999999999999996" customHeight="1" x14ac:dyDescent="0.35">
      <c r="A6" s="8"/>
      <c r="G6" s="84"/>
    </row>
    <row r="7" spans="1:7" ht="21" customHeight="1" x14ac:dyDescent="0.35">
      <c r="A7" s="1" t="s">
        <v>202</v>
      </c>
    </row>
    <row r="8" spans="1:7" s="26" customFormat="1" ht="35.1" customHeight="1" x14ac:dyDescent="0.2">
      <c r="A8" s="24" t="s">
        <v>36</v>
      </c>
      <c r="B8" s="24" t="s">
        <v>37</v>
      </c>
      <c r="C8" s="24" t="s">
        <v>38</v>
      </c>
      <c r="D8" s="24" t="s">
        <v>39</v>
      </c>
      <c r="E8" s="24" t="s">
        <v>40</v>
      </c>
      <c r="F8" s="24" t="s">
        <v>41</v>
      </c>
      <c r="G8" s="25" t="s">
        <v>31</v>
      </c>
    </row>
    <row r="9" spans="1:7" s="26" customFormat="1" ht="50.1" customHeight="1" x14ac:dyDescent="0.2">
      <c r="A9" s="27" t="s">
        <v>42</v>
      </c>
      <c r="B9" s="27" t="s">
        <v>60</v>
      </c>
      <c r="C9" s="27" t="s">
        <v>61</v>
      </c>
      <c r="D9" s="27" t="s">
        <v>62</v>
      </c>
      <c r="E9" s="27" t="s">
        <v>63</v>
      </c>
      <c r="F9" s="27" t="s">
        <v>66</v>
      </c>
      <c r="G9" s="28">
        <v>80000</v>
      </c>
    </row>
    <row r="10" spans="1:7" s="26" customFormat="1" ht="50.1" customHeight="1" x14ac:dyDescent="0.2">
      <c r="A10" s="27" t="s">
        <v>42</v>
      </c>
      <c r="B10" s="27" t="s">
        <v>60</v>
      </c>
      <c r="C10" s="27" t="s">
        <v>61</v>
      </c>
      <c r="D10" s="27" t="s">
        <v>62</v>
      </c>
      <c r="E10" s="27" t="s">
        <v>64</v>
      </c>
      <c r="F10" s="27" t="s">
        <v>67</v>
      </c>
      <c r="G10" s="28">
        <v>722000</v>
      </c>
    </row>
    <row r="11" spans="1:7" s="26" customFormat="1" ht="50.1" customHeight="1" x14ac:dyDescent="0.2">
      <c r="A11" s="27" t="s">
        <v>42</v>
      </c>
      <c r="B11" s="27" t="s">
        <v>60</v>
      </c>
      <c r="C11" s="27" t="s">
        <v>61</v>
      </c>
      <c r="D11" s="27" t="s">
        <v>62</v>
      </c>
      <c r="E11" s="27" t="s">
        <v>65</v>
      </c>
      <c r="F11" s="27" t="s">
        <v>68</v>
      </c>
      <c r="G11" s="28">
        <v>495800</v>
      </c>
    </row>
    <row r="12" spans="1:7" s="26" customFormat="1" ht="50.1" customHeight="1" x14ac:dyDescent="0.2">
      <c r="A12" s="27" t="s">
        <v>42</v>
      </c>
      <c r="B12" s="27" t="s">
        <v>43</v>
      </c>
      <c r="C12" s="27" t="s">
        <v>72</v>
      </c>
      <c r="D12" s="27" t="s">
        <v>44</v>
      </c>
      <c r="E12" s="27" t="s">
        <v>45</v>
      </c>
      <c r="F12" s="27" t="s">
        <v>69</v>
      </c>
      <c r="G12" s="28">
        <v>420000</v>
      </c>
    </row>
    <row r="13" spans="1:7" s="26" customFormat="1" ht="50.1" customHeight="1" x14ac:dyDescent="0.2">
      <c r="A13" s="27" t="s">
        <v>42</v>
      </c>
      <c r="B13" s="27" t="s">
        <v>43</v>
      </c>
      <c r="C13" s="27" t="s">
        <v>72</v>
      </c>
      <c r="D13" s="27" t="s">
        <v>44</v>
      </c>
      <c r="E13" s="27" t="s">
        <v>45</v>
      </c>
      <c r="F13" s="27" t="s">
        <v>70</v>
      </c>
      <c r="G13" s="28">
        <v>218500</v>
      </c>
    </row>
    <row r="14" spans="1:7" s="26" customFormat="1" ht="50.1" customHeight="1" x14ac:dyDescent="0.2">
      <c r="A14" s="27" t="s">
        <v>42</v>
      </c>
      <c r="B14" s="27" t="s">
        <v>43</v>
      </c>
      <c r="C14" s="27" t="s">
        <v>72</v>
      </c>
      <c r="D14" s="27" t="s">
        <v>44</v>
      </c>
      <c r="E14" s="27" t="s">
        <v>45</v>
      </c>
      <c r="F14" s="27" t="s">
        <v>71</v>
      </c>
      <c r="G14" s="28">
        <v>150800</v>
      </c>
    </row>
    <row r="15" spans="1:7" s="26" customFormat="1" ht="50.1" customHeight="1" x14ac:dyDescent="0.2">
      <c r="A15" s="27" t="s">
        <v>42</v>
      </c>
      <c r="B15" s="27" t="s">
        <v>73</v>
      </c>
      <c r="C15" s="27" t="s">
        <v>74</v>
      </c>
      <c r="D15" s="27" t="s">
        <v>44</v>
      </c>
      <c r="E15" s="27" t="s">
        <v>75</v>
      </c>
      <c r="F15" s="27" t="s">
        <v>76</v>
      </c>
      <c r="G15" s="28">
        <v>174000</v>
      </c>
    </row>
    <row r="16" spans="1:7" s="26" customFormat="1" ht="39.950000000000003" customHeight="1" x14ac:dyDescent="0.2">
      <c r="A16" s="24" t="s">
        <v>36</v>
      </c>
      <c r="B16" s="24" t="s">
        <v>37</v>
      </c>
      <c r="C16" s="24" t="s">
        <v>38</v>
      </c>
      <c r="D16" s="24" t="s">
        <v>39</v>
      </c>
      <c r="E16" s="24" t="s">
        <v>40</v>
      </c>
      <c r="F16" s="24" t="s">
        <v>41</v>
      </c>
      <c r="G16" s="25" t="s">
        <v>31</v>
      </c>
    </row>
    <row r="17" spans="1:7" s="26" customFormat="1" ht="50.1" customHeight="1" x14ac:dyDescent="0.2">
      <c r="A17" s="27" t="s">
        <v>42</v>
      </c>
      <c r="B17" s="27" t="s">
        <v>60</v>
      </c>
      <c r="C17" s="27" t="s">
        <v>84</v>
      </c>
      <c r="D17" s="27" t="s">
        <v>85</v>
      </c>
      <c r="E17" s="27" t="s">
        <v>85</v>
      </c>
      <c r="F17" s="27" t="s">
        <v>86</v>
      </c>
      <c r="G17" s="28">
        <v>20000</v>
      </c>
    </row>
    <row r="18" spans="1:7" s="26" customFormat="1" ht="50.1" customHeight="1" x14ac:dyDescent="0.2">
      <c r="A18" s="27" t="s">
        <v>42</v>
      </c>
      <c r="B18" s="27" t="s">
        <v>60</v>
      </c>
      <c r="C18" s="27" t="s">
        <v>77</v>
      </c>
      <c r="D18" s="27" t="s">
        <v>78</v>
      </c>
      <c r="E18" s="27" t="s">
        <v>79</v>
      </c>
      <c r="F18" s="27" t="s">
        <v>83</v>
      </c>
      <c r="G18" s="28">
        <v>9000</v>
      </c>
    </row>
    <row r="19" spans="1:7" s="26" customFormat="1" ht="50.1" customHeight="1" x14ac:dyDescent="0.2">
      <c r="A19" s="27" t="s">
        <v>42</v>
      </c>
      <c r="B19" s="27" t="s">
        <v>80</v>
      </c>
      <c r="C19" s="27" t="s">
        <v>81</v>
      </c>
      <c r="D19" s="27" t="s">
        <v>78</v>
      </c>
      <c r="E19" s="27" t="s">
        <v>79</v>
      </c>
      <c r="F19" s="27" t="s">
        <v>82</v>
      </c>
      <c r="G19" s="28">
        <v>6000</v>
      </c>
    </row>
    <row r="20" spans="1:7" s="26" customFormat="1" ht="50.1" customHeight="1" x14ac:dyDescent="0.2">
      <c r="A20" s="27" t="s">
        <v>42</v>
      </c>
      <c r="B20" s="27" t="s">
        <v>87</v>
      </c>
      <c r="C20" s="27" t="s">
        <v>88</v>
      </c>
      <c r="D20" s="27" t="s">
        <v>89</v>
      </c>
      <c r="E20" s="27" t="s">
        <v>90</v>
      </c>
      <c r="F20" s="27" t="s">
        <v>91</v>
      </c>
      <c r="G20" s="28">
        <v>6415.5</v>
      </c>
    </row>
    <row r="21" spans="1:7" ht="24.95" customHeight="1" x14ac:dyDescent="0.35">
      <c r="A21" s="202" t="s">
        <v>24</v>
      </c>
      <c r="B21" s="204"/>
      <c r="C21" s="204"/>
      <c r="D21" s="204"/>
      <c r="E21" s="204"/>
      <c r="F21" s="203"/>
      <c r="G21" s="28">
        <f>SUM(G9:G20)</f>
        <v>2302515.5</v>
      </c>
    </row>
    <row r="22" spans="1:7" ht="15" customHeight="1" x14ac:dyDescent="0.35"/>
    <row r="23" spans="1:7" ht="21" customHeight="1" x14ac:dyDescent="0.35">
      <c r="A23" s="1" t="s">
        <v>203</v>
      </c>
    </row>
    <row r="24" spans="1:7" s="26" customFormat="1" ht="39.950000000000003" customHeight="1" x14ac:dyDescent="0.2">
      <c r="A24" s="24" t="s">
        <v>36</v>
      </c>
      <c r="B24" s="24" t="s">
        <v>37</v>
      </c>
      <c r="C24" s="24" t="s">
        <v>38</v>
      </c>
      <c r="D24" s="24" t="s">
        <v>39</v>
      </c>
      <c r="E24" s="24" t="s">
        <v>40</v>
      </c>
      <c r="F24" s="24" t="s">
        <v>41</v>
      </c>
      <c r="G24" s="25" t="s">
        <v>31</v>
      </c>
    </row>
    <row r="25" spans="1:7" ht="66" customHeight="1" x14ac:dyDescent="0.35">
      <c r="A25" s="27" t="s">
        <v>42</v>
      </c>
      <c r="B25" s="27" t="s">
        <v>60</v>
      </c>
      <c r="C25" s="27" t="s">
        <v>61</v>
      </c>
      <c r="D25" s="27" t="s">
        <v>182</v>
      </c>
      <c r="E25" s="27" t="s">
        <v>283</v>
      </c>
      <c r="F25" s="27"/>
      <c r="G25" s="28">
        <v>450000</v>
      </c>
    </row>
    <row r="26" spans="1:7" ht="60" customHeight="1" x14ac:dyDescent="0.35">
      <c r="A26" s="27" t="s">
        <v>42</v>
      </c>
      <c r="B26" s="156" t="s">
        <v>284</v>
      </c>
      <c r="C26" s="156" t="s">
        <v>285</v>
      </c>
      <c r="D26" s="157" t="s">
        <v>62</v>
      </c>
      <c r="E26" s="156" t="s">
        <v>65</v>
      </c>
      <c r="F26" s="156" t="s">
        <v>286</v>
      </c>
      <c r="G26" s="158">
        <v>498875</v>
      </c>
    </row>
    <row r="27" spans="1:7" ht="60" customHeight="1" x14ac:dyDescent="0.35">
      <c r="A27" s="27" t="s">
        <v>42</v>
      </c>
      <c r="B27" s="156" t="s">
        <v>287</v>
      </c>
      <c r="C27" s="156" t="s">
        <v>288</v>
      </c>
      <c r="D27" s="157" t="s">
        <v>89</v>
      </c>
      <c r="E27" s="156" t="s">
        <v>90</v>
      </c>
      <c r="F27" s="159"/>
      <c r="G27" s="158">
        <v>8567.16</v>
      </c>
    </row>
    <row r="28" spans="1:7" s="26" customFormat="1" ht="39.950000000000003" customHeight="1" x14ac:dyDescent="0.2">
      <c r="A28" s="24" t="s">
        <v>36</v>
      </c>
      <c r="B28" s="24" t="s">
        <v>37</v>
      </c>
      <c r="C28" s="24" t="s">
        <v>38</v>
      </c>
      <c r="D28" s="24" t="s">
        <v>39</v>
      </c>
      <c r="E28" s="24" t="s">
        <v>40</v>
      </c>
      <c r="F28" s="24" t="s">
        <v>41</v>
      </c>
      <c r="G28" s="25" t="s">
        <v>31</v>
      </c>
    </row>
    <row r="29" spans="1:7" ht="60" customHeight="1" x14ac:dyDescent="0.35">
      <c r="A29" s="27" t="s">
        <v>42</v>
      </c>
      <c r="B29" s="156" t="s">
        <v>289</v>
      </c>
      <c r="C29" s="156" t="s">
        <v>290</v>
      </c>
      <c r="D29" s="157" t="s">
        <v>44</v>
      </c>
      <c r="E29" s="156" t="s">
        <v>45</v>
      </c>
      <c r="F29" s="156" t="s">
        <v>291</v>
      </c>
      <c r="G29" s="160">
        <v>878000</v>
      </c>
    </row>
    <row r="30" spans="1:7" ht="60" customHeight="1" x14ac:dyDescent="0.35">
      <c r="A30" s="27" t="s">
        <v>42</v>
      </c>
      <c r="B30" s="156" t="s">
        <v>289</v>
      </c>
      <c r="C30" s="156" t="s">
        <v>290</v>
      </c>
      <c r="D30" s="157" t="s">
        <v>44</v>
      </c>
      <c r="E30" s="156" t="s">
        <v>45</v>
      </c>
      <c r="F30" s="156" t="s">
        <v>292</v>
      </c>
      <c r="G30" s="160">
        <v>100000</v>
      </c>
    </row>
    <row r="31" spans="1:7" ht="60" customHeight="1" x14ac:dyDescent="0.35">
      <c r="A31" s="27" t="s">
        <v>42</v>
      </c>
      <c r="B31" s="156" t="s">
        <v>289</v>
      </c>
      <c r="C31" s="156" t="s">
        <v>290</v>
      </c>
      <c r="D31" s="157" t="s">
        <v>44</v>
      </c>
      <c r="E31" s="156" t="s">
        <v>45</v>
      </c>
      <c r="F31" s="156" t="s">
        <v>293</v>
      </c>
      <c r="G31" s="160">
        <v>815000</v>
      </c>
    </row>
    <row r="32" spans="1:7" ht="60" customHeight="1" x14ac:dyDescent="0.35">
      <c r="A32" s="27" t="s">
        <v>42</v>
      </c>
      <c r="B32" s="156" t="s">
        <v>294</v>
      </c>
      <c r="C32" s="156" t="s">
        <v>295</v>
      </c>
      <c r="D32" s="157" t="s">
        <v>44</v>
      </c>
      <c r="E32" s="156" t="s">
        <v>296</v>
      </c>
      <c r="F32" s="156" t="s">
        <v>297</v>
      </c>
      <c r="G32" s="158">
        <v>10000</v>
      </c>
    </row>
    <row r="33" spans="1:7" ht="60" customHeight="1" x14ac:dyDescent="0.35">
      <c r="A33" s="27" t="s">
        <v>42</v>
      </c>
      <c r="B33" s="156" t="s">
        <v>294</v>
      </c>
      <c r="C33" s="156" t="s">
        <v>298</v>
      </c>
      <c r="D33" s="157" t="s">
        <v>44</v>
      </c>
      <c r="E33" s="156" t="s">
        <v>45</v>
      </c>
      <c r="F33" s="156" t="s">
        <v>299</v>
      </c>
      <c r="G33" s="160">
        <v>320000</v>
      </c>
    </row>
    <row r="34" spans="1:7" ht="60" customHeight="1" x14ac:dyDescent="0.35">
      <c r="A34" s="27" t="s">
        <v>42</v>
      </c>
      <c r="B34" s="156" t="s">
        <v>294</v>
      </c>
      <c r="C34" s="156" t="s">
        <v>298</v>
      </c>
      <c r="D34" s="157" t="s">
        <v>44</v>
      </c>
      <c r="E34" s="156" t="s">
        <v>45</v>
      </c>
      <c r="F34" s="156" t="s">
        <v>300</v>
      </c>
      <c r="G34" s="160">
        <v>45000</v>
      </c>
    </row>
    <row r="35" spans="1:7" x14ac:dyDescent="0.35">
      <c r="A35" s="202" t="s">
        <v>24</v>
      </c>
      <c r="B35" s="204"/>
      <c r="C35" s="204"/>
      <c r="D35" s="204"/>
      <c r="E35" s="204"/>
      <c r="F35" s="203"/>
      <c r="G35" s="22">
        <f>SUM(G25:G34)</f>
        <v>3125442.16</v>
      </c>
    </row>
  </sheetData>
  <mergeCells count="5">
    <mergeCell ref="A35:F35"/>
    <mergeCell ref="A21:F21"/>
    <mergeCell ref="A1:G1"/>
    <mergeCell ref="A2:G2"/>
    <mergeCell ref="A3:G3"/>
  </mergeCells>
  <pageMargins left="0.78740157480314965" right="0.59055118110236227" top="0.59055118110236227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"/>
    </sheetView>
  </sheetViews>
  <sheetFormatPr defaultRowHeight="21" x14ac:dyDescent="0.35"/>
  <cols>
    <col min="1" max="1" width="10.625" style="1" customWidth="1"/>
    <col min="2" max="2" width="35.625" style="1" customWidth="1"/>
    <col min="3" max="3" width="15.625" style="3" customWidth="1"/>
    <col min="4" max="4" width="2.625" style="1" customWidth="1"/>
    <col min="5" max="5" width="15.625" style="1" customWidth="1"/>
    <col min="6" max="16384" width="9" style="1"/>
  </cols>
  <sheetData>
    <row r="1" spans="1:5" ht="24.95" customHeight="1" x14ac:dyDescent="0.35">
      <c r="A1" s="201" t="s">
        <v>59</v>
      </c>
      <c r="B1" s="201"/>
      <c r="C1" s="201"/>
      <c r="D1" s="201"/>
      <c r="E1" s="201"/>
    </row>
    <row r="2" spans="1:5" ht="24.95" customHeight="1" x14ac:dyDescent="0.35">
      <c r="A2" s="201" t="s">
        <v>22</v>
      </c>
      <c r="B2" s="201"/>
      <c r="C2" s="201"/>
      <c r="D2" s="201"/>
      <c r="E2" s="201"/>
    </row>
    <row r="3" spans="1:5" ht="24.95" customHeight="1" x14ac:dyDescent="0.35">
      <c r="A3" s="201" t="s">
        <v>205</v>
      </c>
      <c r="B3" s="201"/>
      <c r="C3" s="201"/>
      <c r="D3" s="201"/>
      <c r="E3" s="201"/>
    </row>
    <row r="5" spans="1:5" ht="24" customHeight="1" x14ac:dyDescent="0.35">
      <c r="A5" s="8" t="s">
        <v>269</v>
      </c>
      <c r="B5" s="8" t="s">
        <v>12</v>
      </c>
      <c r="C5" s="75" t="s">
        <v>203</v>
      </c>
      <c r="E5" s="74" t="s">
        <v>202</v>
      </c>
    </row>
    <row r="6" spans="1:5" ht="24" customHeight="1" x14ac:dyDescent="0.35">
      <c r="B6" s="29" t="s">
        <v>46</v>
      </c>
      <c r="C6" s="3">
        <v>14276.5</v>
      </c>
      <c r="E6" s="3">
        <v>19006.98</v>
      </c>
    </row>
    <row r="7" spans="1:5" ht="24" customHeight="1" x14ac:dyDescent="0.35">
      <c r="B7" s="29" t="s">
        <v>47</v>
      </c>
      <c r="C7" s="3">
        <v>12418.31</v>
      </c>
      <c r="E7" s="3">
        <v>10461.56</v>
      </c>
    </row>
    <row r="8" spans="1:5" ht="24" customHeight="1" x14ac:dyDescent="0.35">
      <c r="B8" s="29" t="s">
        <v>48</v>
      </c>
      <c r="C8" s="3">
        <v>14882.7</v>
      </c>
      <c r="E8" s="3">
        <v>12534.6</v>
      </c>
    </row>
    <row r="9" spans="1:5" ht="24" customHeight="1" x14ac:dyDescent="0.35">
      <c r="B9" s="29" t="s">
        <v>49</v>
      </c>
      <c r="C9" s="3">
        <v>396062</v>
      </c>
      <c r="E9" s="3">
        <v>383681</v>
      </c>
    </row>
    <row r="10" spans="1:5" ht="24" customHeight="1" x14ac:dyDescent="0.35">
      <c r="B10" s="29" t="s">
        <v>92</v>
      </c>
      <c r="C10" s="3">
        <v>8500</v>
      </c>
      <c r="E10" s="3">
        <v>8500</v>
      </c>
    </row>
    <row r="11" spans="1:5" ht="24" customHeight="1" x14ac:dyDescent="0.35">
      <c r="B11" s="29" t="s">
        <v>50</v>
      </c>
      <c r="C11" s="3">
        <v>400800.18</v>
      </c>
      <c r="E11" s="3">
        <v>400756.57</v>
      </c>
    </row>
    <row r="12" spans="1:5" ht="24" customHeight="1" x14ac:dyDescent="0.35">
      <c r="B12" s="29" t="s">
        <v>93</v>
      </c>
      <c r="C12" s="3">
        <v>7581.05</v>
      </c>
      <c r="E12" s="3">
        <v>11567.2</v>
      </c>
    </row>
    <row r="13" spans="1:5" ht="24" customHeight="1" x14ac:dyDescent="0.35">
      <c r="B13" s="29" t="s">
        <v>94</v>
      </c>
      <c r="C13" s="3">
        <v>2000</v>
      </c>
      <c r="E13" s="3">
        <v>2000</v>
      </c>
    </row>
    <row r="14" spans="1:5" ht="24" customHeight="1" x14ac:dyDescent="0.35">
      <c r="B14" s="29" t="s">
        <v>95</v>
      </c>
      <c r="C14" s="3">
        <v>54500</v>
      </c>
      <c r="E14" s="3">
        <v>54500</v>
      </c>
    </row>
    <row r="15" spans="1:5" ht="24" customHeight="1" x14ac:dyDescent="0.35">
      <c r="B15" s="29" t="s">
        <v>96</v>
      </c>
      <c r="C15" s="3">
        <v>201500</v>
      </c>
      <c r="E15" s="3">
        <v>201500</v>
      </c>
    </row>
    <row r="16" spans="1:5" ht="24" customHeight="1" x14ac:dyDescent="0.35">
      <c r="B16" s="29" t="s">
        <v>97</v>
      </c>
      <c r="C16" s="3">
        <v>10400</v>
      </c>
      <c r="E16" s="3">
        <v>10400</v>
      </c>
    </row>
    <row r="17" spans="2:5" ht="24" customHeight="1" x14ac:dyDescent="0.35">
      <c r="B17" s="29" t="s">
        <v>98</v>
      </c>
      <c r="C17" s="3">
        <v>16800</v>
      </c>
      <c r="E17" s="3">
        <v>16800</v>
      </c>
    </row>
    <row r="18" spans="2:5" ht="24" customHeight="1" x14ac:dyDescent="0.35">
      <c r="B18" s="29" t="s">
        <v>99</v>
      </c>
      <c r="C18" s="3">
        <v>135000</v>
      </c>
      <c r="E18" s="3">
        <v>75000</v>
      </c>
    </row>
    <row r="19" spans="2:5" ht="24" customHeight="1" x14ac:dyDescent="0.35">
      <c r="B19" s="29" t="s">
        <v>100</v>
      </c>
      <c r="C19" s="3">
        <v>100000</v>
      </c>
      <c r="E19" s="3">
        <v>100000</v>
      </c>
    </row>
    <row r="20" spans="2:5" ht="24" customHeight="1" x14ac:dyDescent="0.35">
      <c r="B20" s="29" t="s">
        <v>101</v>
      </c>
      <c r="C20" s="3">
        <v>51568</v>
      </c>
      <c r="E20" s="3">
        <v>51568</v>
      </c>
    </row>
    <row r="21" spans="2:5" ht="24" customHeight="1" x14ac:dyDescent="0.35">
      <c r="B21" s="29" t="s">
        <v>208</v>
      </c>
      <c r="C21" s="3">
        <v>52008</v>
      </c>
      <c r="E21" s="3">
        <v>0</v>
      </c>
    </row>
    <row r="22" spans="2:5" ht="24" customHeight="1" thickBot="1" x14ac:dyDescent="0.4">
      <c r="B22" s="10"/>
      <c r="C22" s="14">
        <f>SUM(C6:C21)</f>
        <v>1478296.74</v>
      </c>
      <c r="E22" s="14">
        <f>SUM(E6:E21)</f>
        <v>1358275.91</v>
      </c>
    </row>
    <row r="23" spans="2:5" ht="24" customHeight="1" thickTop="1" x14ac:dyDescent="0.35"/>
    <row r="24" spans="2:5" ht="24" customHeight="1" x14ac:dyDescent="0.35"/>
  </sheetData>
  <mergeCells count="3">
    <mergeCell ref="A1:E1"/>
    <mergeCell ref="A3:E3"/>
    <mergeCell ref="A2:E2"/>
  </mergeCells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3" sqref="F13"/>
    </sheetView>
  </sheetViews>
  <sheetFormatPr defaultRowHeight="21" x14ac:dyDescent="0.35"/>
  <cols>
    <col min="1" max="1" width="4.625" style="1" customWidth="1"/>
    <col min="2" max="2" width="38.625" style="1" customWidth="1"/>
    <col min="3" max="3" width="12.625" style="3" customWidth="1"/>
    <col min="4" max="4" width="13.125" style="3" customWidth="1"/>
    <col min="5" max="5" width="1.625" style="3" customWidth="1"/>
    <col min="6" max="6" width="13.625" style="3" customWidth="1"/>
    <col min="7" max="7" width="12.625" style="1" customWidth="1"/>
    <col min="8" max="8" width="13.125" style="1" customWidth="1"/>
    <col min="9" max="9" width="1.625" style="1" customWidth="1"/>
    <col min="10" max="10" width="13.125" style="1" customWidth="1"/>
    <col min="11" max="16384" width="9" style="1"/>
  </cols>
  <sheetData>
    <row r="1" spans="1:10" ht="24.95" customHeight="1" x14ac:dyDescent="0.35">
      <c r="A1" s="201" t="s">
        <v>59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4.95" customHeight="1" x14ac:dyDescent="0.35">
      <c r="A2" s="201" t="s">
        <v>22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ht="24.95" customHeight="1" x14ac:dyDescent="0.35">
      <c r="A3" s="201" t="s">
        <v>205</v>
      </c>
      <c r="B3" s="201"/>
      <c r="C3" s="201"/>
      <c r="D3" s="201"/>
      <c r="E3" s="201"/>
      <c r="F3" s="201"/>
      <c r="G3" s="201"/>
      <c r="H3" s="201"/>
      <c r="I3" s="201"/>
      <c r="J3" s="201"/>
    </row>
    <row r="4" spans="1:10" ht="9.9499999999999993" customHeight="1" x14ac:dyDescent="0.35"/>
    <row r="5" spans="1:10" ht="24" customHeight="1" x14ac:dyDescent="0.35">
      <c r="A5" s="8" t="s">
        <v>270</v>
      </c>
      <c r="B5" s="8"/>
    </row>
    <row r="6" spans="1:10" ht="24" customHeight="1" x14ac:dyDescent="0.35">
      <c r="A6" s="8"/>
      <c r="B6" s="8"/>
      <c r="C6" s="207" t="s">
        <v>203</v>
      </c>
      <c r="D6" s="208"/>
      <c r="E6" s="208"/>
      <c r="F6" s="209"/>
      <c r="G6" s="207" t="s">
        <v>202</v>
      </c>
      <c r="H6" s="208"/>
      <c r="I6" s="208"/>
      <c r="J6" s="209"/>
    </row>
    <row r="7" spans="1:10" ht="24" customHeight="1" x14ac:dyDescent="0.35">
      <c r="A7" s="8" t="s">
        <v>213</v>
      </c>
      <c r="B7" s="29"/>
      <c r="C7" s="88"/>
      <c r="D7" s="11"/>
      <c r="E7" s="11"/>
      <c r="F7" s="89">
        <v>13359359.33</v>
      </c>
      <c r="G7" s="88"/>
      <c r="H7" s="11"/>
      <c r="I7" s="11"/>
      <c r="J7" s="89">
        <v>12757764.619999999</v>
      </c>
    </row>
    <row r="8" spans="1:10" ht="24" customHeight="1" x14ac:dyDescent="0.35">
      <c r="B8" s="29" t="s">
        <v>51</v>
      </c>
      <c r="C8" s="88">
        <v>1862212.27</v>
      </c>
      <c r="D8" s="11"/>
      <c r="E8" s="11"/>
      <c r="F8" s="89"/>
      <c r="G8" s="88">
        <v>1696552.6</v>
      </c>
      <c r="H8" s="11"/>
      <c r="I8" s="11"/>
      <c r="J8" s="89"/>
    </row>
    <row r="9" spans="1:10" ht="24" customHeight="1" x14ac:dyDescent="0.35">
      <c r="B9" s="29" t="s">
        <v>52</v>
      </c>
      <c r="C9" s="88"/>
      <c r="D9" s="11"/>
      <c r="E9" s="11"/>
      <c r="F9" s="89"/>
      <c r="G9" s="88"/>
      <c r="H9" s="11"/>
      <c r="I9" s="11"/>
      <c r="J9" s="89"/>
    </row>
    <row r="10" spans="1:10" ht="24" customHeight="1" x14ac:dyDescent="0.35">
      <c r="B10" s="29" t="s">
        <v>53</v>
      </c>
      <c r="C10" s="90">
        <v>465553.07</v>
      </c>
      <c r="D10" s="11"/>
      <c r="E10" s="11"/>
      <c r="F10" s="89"/>
      <c r="G10" s="90">
        <v>424138.15</v>
      </c>
      <c r="H10" s="11"/>
      <c r="I10" s="11"/>
      <c r="J10" s="89"/>
    </row>
    <row r="11" spans="1:10" ht="24" customHeight="1" x14ac:dyDescent="0.35">
      <c r="A11" s="31" t="s">
        <v>54</v>
      </c>
      <c r="B11" s="29" t="s">
        <v>55</v>
      </c>
      <c r="C11" s="88"/>
      <c r="D11" s="11">
        <v>1396659.2</v>
      </c>
      <c r="E11" s="11"/>
      <c r="F11" s="89"/>
      <c r="G11" s="88"/>
      <c r="H11" s="11">
        <v>1272414.45</v>
      </c>
      <c r="I11" s="11"/>
      <c r="J11" s="89"/>
    </row>
    <row r="12" spans="1:10" ht="24" customHeight="1" x14ac:dyDescent="0.35">
      <c r="B12" s="29" t="s">
        <v>209</v>
      </c>
      <c r="C12" s="88"/>
      <c r="D12" s="11">
        <v>13655.91</v>
      </c>
      <c r="E12" s="11"/>
      <c r="F12" s="89"/>
      <c r="G12" s="17"/>
      <c r="H12" s="11">
        <v>65713</v>
      </c>
      <c r="I12" s="10"/>
      <c r="J12" s="79"/>
    </row>
    <row r="13" spans="1:10" ht="24" customHeight="1" x14ac:dyDescent="0.35">
      <c r="A13" s="31" t="s">
        <v>56</v>
      </c>
      <c r="B13" s="10" t="s">
        <v>189</v>
      </c>
      <c r="C13" s="88"/>
      <c r="D13" s="11"/>
      <c r="E13" s="11"/>
      <c r="F13" s="89"/>
      <c r="G13" s="17"/>
      <c r="H13" s="11">
        <v>-5932.74</v>
      </c>
      <c r="I13" s="11"/>
      <c r="J13" s="89"/>
    </row>
    <row r="14" spans="1:10" ht="24" customHeight="1" x14ac:dyDescent="0.35">
      <c r="A14" s="31"/>
      <c r="B14" s="10" t="s">
        <v>57</v>
      </c>
      <c r="C14" s="88"/>
      <c r="D14" s="30">
        <v>2426600</v>
      </c>
      <c r="E14" s="11"/>
      <c r="F14" s="91">
        <f>D11+D12-D14</f>
        <v>-1016284.8900000001</v>
      </c>
      <c r="G14" s="17"/>
      <c r="H14" s="30">
        <v>-730600</v>
      </c>
      <c r="I14" s="11"/>
      <c r="J14" s="91">
        <v>601594.71</v>
      </c>
    </row>
    <row r="15" spans="1:10" ht="24" customHeight="1" thickBot="1" x14ac:dyDescent="0.4">
      <c r="A15" s="8" t="s">
        <v>211</v>
      </c>
      <c r="C15" s="88"/>
      <c r="D15" s="11"/>
      <c r="E15" s="11"/>
      <c r="F15" s="92">
        <f>F7+F14</f>
        <v>12343074.439999999</v>
      </c>
      <c r="G15" s="17"/>
      <c r="H15" s="11"/>
      <c r="I15" s="11"/>
      <c r="J15" s="92">
        <f>J7+J14</f>
        <v>13359359.329999998</v>
      </c>
    </row>
    <row r="16" spans="1:10" ht="24" customHeight="1" thickTop="1" x14ac:dyDescent="0.35">
      <c r="C16" s="90"/>
      <c r="D16" s="30"/>
      <c r="E16" s="30"/>
      <c r="F16" s="91"/>
      <c r="G16" s="37"/>
      <c r="H16" s="30"/>
      <c r="I16" s="30"/>
      <c r="J16" s="91"/>
    </row>
    <row r="17" spans="1:10" x14ac:dyDescent="0.35">
      <c r="A17" s="8" t="s">
        <v>212</v>
      </c>
      <c r="H17" s="3"/>
      <c r="I17" s="3"/>
      <c r="J17" s="3"/>
    </row>
    <row r="18" spans="1:10" x14ac:dyDescent="0.35">
      <c r="B18" s="1" t="s">
        <v>190</v>
      </c>
      <c r="D18" s="3">
        <v>123481.03</v>
      </c>
      <c r="H18" s="3">
        <v>187948.35</v>
      </c>
      <c r="I18" s="3"/>
      <c r="J18" s="3"/>
    </row>
    <row r="19" spans="1:10" x14ac:dyDescent="0.35">
      <c r="B19" s="1" t="s">
        <v>191</v>
      </c>
      <c r="D19" s="3">
        <v>23585</v>
      </c>
      <c r="H19" s="3">
        <v>56110</v>
      </c>
      <c r="I19" s="3"/>
      <c r="J19" s="3"/>
    </row>
    <row r="20" spans="1:10" x14ac:dyDescent="0.35">
      <c r="B20" s="1" t="s">
        <v>192</v>
      </c>
      <c r="D20" s="3">
        <v>400000</v>
      </c>
      <c r="H20" s="3">
        <v>400000</v>
      </c>
      <c r="I20" s="3"/>
      <c r="J20" s="3"/>
    </row>
    <row r="21" spans="1:10" x14ac:dyDescent="0.35">
      <c r="B21" s="1" t="s">
        <v>58</v>
      </c>
      <c r="D21" s="3">
        <f>F15-D18-D19-D20</f>
        <v>11796008.41</v>
      </c>
      <c r="H21" s="3">
        <f>J15-H18-H19-H20</f>
        <v>12715300.979999999</v>
      </c>
      <c r="I21" s="3"/>
      <c r="J21" s="3"/>
    </row>
    <row r="22" spans="1:10" ht="21.75" thickBot="1" x14ac:dyDescent="0.4">
      <c r="D22" s="14">
        <f>SUM(D18:D21)</f>
        <v>12343074.439999999</v>
      </c>
      <c r="H22" s="14">
        <f>SUM(H18:H21)</f>
        <v>13359359.329999998</v>
      </c>
      <c r="I22" s="3"/>
      <c r="J22" s="3"/>
    </row>
    <row r="23" spans="1:10" ht="21.75" thickTop="1" x14ac:dyDescent="0.35">
      <c r="A23" s="1" t="s">
        <v>210</v>
      </c>
    </row>
  </sheetData>
  <mergeCells count="5">
    <mergeCell ref="C6:F6"/>
    <mergeCell ref="G6:J6"/>
    <mergeCell ref="A1:J1"/>
    <mergeCell ref="A2:J2"/>
    <mergeCell ref="A3:J3"/>
  </mergeCells>
  <pageMargins left="0.78740157480314965" right="0.39370078740157483" top="0.59055118110236227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12" sqref="C12"/>
    </sheetView>
  </sheetViews>
  <sheetFormatPr defaultRowHeight="21" x14ac:dyDescent="0.35"/>
  <cols>
    <col min="1" max="1" width="18.625" style="1" customWidth="1"/>
    <col min="2" max="2" width="22.625" style="1" customWidth="1"/>
    <col min="3" max="3" width="25.625" style="1" customWidth="1"/>
    <col min="4" max="6" width="14.625" style="1" customWidth="1"/>
    <col min="7" max="7" width="12.625" style="3" customWidth="1"/>
    <col min="8" max="16384" width="9" style="1"/>
  </cols>
  <sheetData>
    <row r="1" spans="1:7" ht="24.95" customHeight="1" x14ac:dyDescent="0.35">
      <c r="A1" s="201" t="s">
        <v>59</v>
      </c>
      <c r="B1" s="201"/>
      <c r="C1" s="201"/>
      <c r="D1" s="201"/>
      <c r="E1" s="201"/>
      <c r="F1" s="201"/>
      <c r="G1" s="201"/>
    </row>
    <row r="2" spans="1:7" ht="24.95" customHeight="1" x14ac:dyDescent="0.35">
      <c r="A2" s="201" t="s">
        <v>22</v>
      </c>
      <c r="B2" s="201"/>
      <c r="C2" s="201"/>
      <c r="D2" s="201"/>
      <c r="E2" s="201"/>
      <c r="F2" s="201"/>
      <c r="G2" s="201"/>
    </row>
    <row r="3" spans="1:7" ht="24.95" customHeight="1" x14ac:dyDescent="0.35">
      <c r="A3" s="201" t="s">
        <v>205</v>
      </c>
      <c r="B3" s="201"/>
      <c r="C3" s="201"/>
      <c r="D3" s="201"/>
      <c r="E3" s="201"/>
      <c r="F3" s="201"/>
      <c r="G3" s="201"/>
    </row>
    <row r="4" spans="1:7" ht="15" customHeight="1" x14ac:dyDescent="0.35"/>
    <row r="5" spans="1:7" x14ac:dyDescent="0.35">
      <c r="A5" s="8" t="s">
        <v>344</v>
      </c>
    </row>
    <row r="6" spans="1:7" ht="15" customHeight="1" x14ac:dyDescent="0.35"/>
    <row r="7" spans="1:7" s="26" customFormat="1" ht="39.950000000000003" customHeight="1" x14ac:dyDescent="0.2">
      <c r="A7" s="24" t="s">
        <v>39</v>
      </c>
      <c r="B7" s="24" t="s">
        <v>40</v>
      </c>
      <c r="C7" s="24" t="s">
        <v>41</v>
      </c>
      <c r="D7" s="25" t="s">
        <v>193</v>
      </c>
      <c r="E7" s="24" t="s">
        <v>194</v>
      </c>
      <c r="F7" s="24" t="s">
        <v>195</v>
      </c>
      <c r="G7" s="25" t="s">
        <v>196</v>
      </c>
    </row>
    <row r="8" spans="1:7" s="26" customFormat="1" ht="84.95" customHeight="1" x14ac:dyDescent="0.2">
      <c r="A8" s="27" t="s">
        <v>44</v>
      </c>
      <c r="B8" s="27" t="s">
        <v>45</v>
      </c>
      <c r="C8" s="27" t="s">
        <v>345</v>
      </c>
      <c r="D8" s="28">
        <v>1800000</v>
      </c>
      <c r="E8" s="28">
        <v>1795000</v>
      </c>
      <c r="F8" s="28">
        <v>1795000</v>
      </c>
      <c r="G8" s="28">
        <f>D8-F8</f>
        <v>5000</v>
      </c>
    </row>
    <row r="9" spans="1:7" s="26" customFormat="1" ht="69.95" customHeight="1" x14ac:dyDescent="0.2">
      <c r="A9" s="27" t="s">
        <v>44</v>
      </c>
      <c r="B9" s="27" t="s">
        <v>75</v>
      </c>
      <c r="C9" s="27" t="s">
        <v>343</v>
      </c>
      <c r="D9" s="28">
        <v>700000</v>
      </c>
      <c r="E9" s="28">
        <v>631600</v>
      </c>
      <c r="F9" s="28">
        <v>631600</v>
      </c>
      <c r="G9" s="28">
        <f>D9-F9</f>
        <v>68400</v>
      </c>
    </row>
    <row r="10" spans="1:7" s="26" customFormat="1" ht="30" customHeight="1" x14ac:dyDescent="0.2">
      <c r="A10" s="213" t="s">
        <v>24</v>
      </c>
      <c r="B10" s="214"/>
      <c r="C10" s="215"/>
      <c r="D10" s="28">
        <f>SUM(D8:D9)</f>
        <v>2500000</v>
      </c>
      <c r="E10" s="28">
        <f>SUM(E8:E9)</f>
        <v>2426600</v>
      </c>
      <c r="F10" s="28">
        <f>SUM(F8:F9)</f>
        <v>2426600</v>
      </c>
      <c r="G10" s="28">
        <f>SUM(G8:G9)</f>
        <v>73400</v>
      </c>
    </row>
    <row r="11" spans="1:7" s="26" customFormat="1" ht="39.950000000000003" customHeight="1" x14ac:dyDescent="0.35">
      <c r="A11" s="1"/>
      <c r="B11" s="1"/>
      <c r="C11" s="1"/>
      <c r="D11" s="1"/>
      <c r="E11" s="1"/>
      <c r="F11" s="1"/>
      <c r="G11" s="3"/>
    </row>
    <row r="12" spans="1:7" s="26" customFormat="1" ht="50.1" customHeight="1" x14ac:dyDescent="0.35">
      <c r="A12" s="1"/>
      <c r="B12" s="1"/>
      <c r="C12" s="1"/>
      <c r="D12" s="1"/>
      <c r="E12" s="1"/>
      <c r="F12" s="1"/>
      <c r="G12" s="3"/>
    </row>
    <row r="13" spans="1:7" s="26" customFormat="1" ht="50.1" customHeight="1" x14ac:dyDescent="0.35">
      <c r="A13" s="1"/>
      <c r="B13" s="1"/>
      <c r="C13" s="1"/>
      <c r="D13" s="1"/>
      <c r="E13" s="1"/>
      <c r="F13" s="1"/>
      <c r="G13" s="3"/>
    </row>
    <row r="14" spans="1:7" s="26" customFormat="1" ht="50.1" customHeight="1" x14ac:dyDescent="0.35">
      <c r="A14" s="1"/>
      <c r="B14" s="1"/>
      <c r="C14" s="1"/>
      <c r="D14" s="1"/>
      <c r="E14" s="1"/>
      <c r="F14" s="1"/>
      <c r="G14" s="3"/>
    </row>
    <row r="15" spans="1:7" s="26" customFormat="1" ht="50.1" customHeight="1" x14ac:dyDescent="0.35">
      <c r="A15" s="1"/>
      <c r="B15" s="1"/>
      <c r="C15" s="1"/>
      <c r="D15" s="1"/>
      <c r="E15" s="1"/>
      <c r="F15" s="1"/>
      <c r="G15" s="3"/>
    </row>
    <row r="16" spans="1:7" ht="24.95" customHeight="1" x14ac:dyDescent="0.35"/>
  </sheetData>
  <mergeCells count="4">
    <mergeCell ref="A1:G1"/>
    <mergeCell ref="A2:G2"/>
    <mergeCell ref="A3:G3"/>
    <mergeCell ref="A10:C10"/>
  </mergeCells>
  <pageMargins left="0.78740157480314965" right="0.59055118110236227" top="0.98425196850393704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20" zoomScaleNormal="120" workbookViewId="0">
      <selection activeCell="E14" sqref="E14"/>
    </sheetView>
  </sheetViews>
  <sheetFormatPr defaultRowHeight="18.75" x14ac:dyDescent="0.3"/>
  <cols>
    <col min="1" max="1" width="2.625" style="4" customWidth="1"/>
    <col min="2" max="2" width="22.625" style="4" customWidth="1"/>
    <col min="3" max="3" width="12.625" style="4" customWidth="1"/>
    <col min="4" max="4" width="12.625" style="6" customWidth="1"/>
    <col min="5" max="5" width="18.625" style="4" customWidth="1"/>
    <col min="6" max="6" width="12.625" style="4" customWidth="1"/>
    <col min="7" max="7" width="12.625" style="6" customWidth="1"/>
    <col min="8" max="16384" width="9" style="4"/>
  </cols>
  <sheetData>
    <row r="1" spans="1:9" x14ac:dyDescent="0.3">
      <c r="A1" s="223" t="s">
        <v>59</v>
      </c>
      <c r="B1" s="223"/>
      <c r="C1" s="223"/>
      <c r="D1" s="223"/>
      <c r="E1" s="223"/>
      <c r="F1" s="223"/>
      <c r="G1" s="223"/>
    </row>
    <row r="2" spans="1:9" x14ac:dyDescent="0.3">
      <c r="A2" s="223" t="s">
        <v>22</v>
      </c>
      <c r="B2" s="223"/>
      <c r="C2" s="223"/>
      <c r="D2" s="223"/>
      <c r="E2" s="223"/>
      <c r="F2" s="223"/>
      <c r="G2" s="223"/>
    </row>
    <row r="3" spans="1:9" x14ac:dyDescent="0.3">
      <c r="A3" s="223" t="s">
        <v>205</v>
      </c>
      <c r="B3" s="223"/>
      <c r="C3" s="223"/>
      <c r="D3" s="223"/>
      <c r="E3" s="223"/>
      <c r="F3" s="223"/>
      <c r="G3" s="223"/>
      <c r="H3" s="165"/>
      <c r="I3" s="165"/>
    </row>
    <row r="4" spans="1:9" ht="15" customHeight="1" x14ac:dyDescent="0.3"/>
    <row r="5" spans="1:9" x14ac:dyDescent="0.3">
      <c r="A5" s="166" t="s">
        <v>109</v>
      </c>
      <c r="B5" s="166"/>
      <c r="C5" s="166"/>
      <c r="D5" s="167"/>
    </row>
    <row r="6" spans="1:9" ht="5.0999999999999996" customHeight="1" x14ac:dyDescent="0.3"/>
    <row r="7" spans="1:9" ht="18.95" customHeight="1" x14ac:dyDescent="0.3">
      <c r="A7" s="216" t="s">
        <v>107</v>
      </c>
      <c r="B7" s="217"/>
      <c r="C7" s="224" t="s">
        <v>108</v>
      </c>
      <c r="D7" s="225"/>
      <c r="E7" s="220" t="s">
        <v>110</v>
      </c>
      <c r="F7" s="221"/>
      <c r="G7" s="222"/>
    </row>
    <row r="8" spans="1:9" ht="18.95" customHeight="1" x14ac:dyDescent="0.3">
      <c r="A8" s="218"/>
      <c r="B8" s="219"/>
      <c r="C8" s="226"/>
      <c r="D8" s="227"/>
      <c r="E8" s="168" t="s">
        <v>111</v>
      </c>
      <c r="F8" s="228" t="s">
        <v>31</v>
      </c>
      <c r="G8" s="229"/>
    </row>
    <row r="9" spans="1:9" s="54" customFormat="1" ht="18.95" customHeight="1" x14ac:dyDescent="0.3">
      <c r="A9" s="169"/>
      <c r="B9" s="170"/>
      <c r="C9" s="171">
        <v>2561</v>
      </c>
      <c r="D9" s="171" t="s">
        <v>340</v>
      </c>
      <c r="E9" s="55"/>
      <c r="F9" s="171">
        <v>2561</v>
      </c>
      <c r="G9" s="171" t="s">
        <v>340</v>
      </c>
    </row>
    <row r="10" spans="1:9" ht="18.95" customHeight="1" x14ac:dyDescent="0.3">
      <c r="A10" s="46" t="s">
        <v>112</v>
      </c>
      <c r="B10" s="54"/>
      <c r="C10" s="172"/>
      <c r="D10" s="49"/>
      <c r="E10" s="54"/>
      <c r="F10" s="172"/>
      <c r="G10" s="49"/>
    </row>
    <row r="11" spans="1:9" ht="18.95" customHeight="1" x14ac:dyDescent="0.3">
      <c r="A11" s="46" t="s">
        <v>113</v>
      </c>
      <c r="B11" s="54" t="s">
        <v>114</v>
      </c>
      <c r="C11" s="49">
        <v>5544850</v>
      </c>
      <c r="D11" s="49">
        <v>5544850</v>
      </c>
      <c r="E11" s="54" t="s">
        <v>120</v>
      </c>
      <c r="F11" s="49">
        <f>1962350</f>
        <v>1962350</v>
      </c>
      <c r="G11" s="49">
        <f>1962350</f>
        <v>1962350</v>
      </c>
    </row>
    <row r="12" spans="1:9" ht="18.95" customHeight="1" x14ac:dyDescent="0.3">
      <c r="A12" s="46"/>
      <c r="B12" s="54" t="s">
        <v>115</v>
      </c>
      <c r="C12" s="49">
        <v>8101690</v>
      </c>
      <c r="D12" s="49">
        <v>8101690</v>
      </c>
      <c r="E12" s="54" t="s">
        <v>339</v>
      </c>
      <c r="F12" s="49">
        <f>1746000</f>
        <v>1746000</v>
      </c>
      <c r="G12" s="49">
        <f>1746000</f>
        <v>1746000</v>
      </c>
    </row>
    <row r="13" spans="1:9" ht="18.95" customHeight="1" x14ac:dyDescent="0.3">
      <c r="A13" s="46"/>
      <c r="B13" s="54" t="s">
        <v>116</v>
      </c>
      <c r="C13" s="49">
        <v>8098322</v>
      </c>
      <c r="D13" s="49">
        <v>8098322</v>
      </c>
      <c r="E13" s="54" t="s">
        <v>121</v>
      </c>
      <c r="F13" s="49">
        <f>85800</f>
        <v>85800</v>
      </c>
      <c r="G13" s="49">
        <f>85800</f>
        <v>85800</v>
      </c>
    </row>
    <row r="14" spans="1:9" ht="18.95" customHeight="1" x14ac:dyDescent="0.3">
      <c r="A14" s="46"/>
      <c r="B14" s="54" t="s">
        <v>117</v>
      </c>
      <c r="C14" s="49">
        <v>3261943</v>
      </c>
      <c r="D14" s="49">
        <v>3261943</v>
      </c>
      <c r="E14" s="54" t="s">
        <v>122</v>
      </c>
      <c r="F14" s="49">
        <f>11444660.8+2332798+1763982</f>
        <v>15541440.800000001</v>
      </c>
      <c r="G14" s="49">
        <f>11444660.8+2332798</f>
        <v>13777458.800000001</v>
      </c>
    </row>
    <row r="15" spans="1:9" ht="18.95" customHeight="1" x14ac:dyDescent="0.3">
      <c r="A15" s="46"/>
      <c r="B15" s="54" t="s">
        <v>118</v>
      </c>
      <c r="C15" s="49">
        <v>4854399</v>
      </c>
      <c r="D15" s="49">
        <v>4854399</v>
      </c>
      <c r="E15" s="54" t="s">
        <v>123</v>
      </c>
      <c r="F15" s="49">
        <f>440000</f>
        <v>440000</v>
      </c>
      <c r="G15" s="49">
        <f>440000</f>
        <v>440000</v>
      </c>
    </row>
    <row r="16" spans="1:9" ht="18.95" customHeight="1" x14ac:dyDescent="0.3">
      <c r="A16" s="46"/>
      <c r="B16" s="54" t="s">
        <v>119</v>
      </c>
      <c r="C16" s="49">
        <v>751920</v>
      </c>
      <c r="D16" s="49">
        <v>751920</v>
      </c>
      <c r="E16" s="54" t="s">
        <v>124</v>
      </c>
      <c r="F16" s="49">
        <f>1577989</f>
        <v>1577989</v>
      </c>
      <c r="G16" s="49">
        <f>1577989</f>
        <v>1577989</v>
      </c>
    </row>
    <row r="17" spans="1:7" ht="18.95" customHeight="1" x14ac:dyDescent="0.3">
      <c r="A17" s="46"/>
      <c r="B17" s="54"/>
      <c r="C17" s="173"/>
      <c r="D17" s="49"/>
      <c r="E17" s="54" t="s">
        <v>125</v>
      </c>
      <c r="F17" s="49">
        <f>11470639.78</f>
        <v>11470639.779999999</v>
      </c>
      <c r="G17" s="49">
        <f>11470639.78</f>
        <v>11470639.779999999</v>
      </c>
    </row>
    <row r="18" spans="1:7" ht="18.95" customHeight="1" x14ac:dyDescent="0.3">
      <c r="A18" s="46"/>
      <c r="B18" s="54"/>
      <c r="C18" s="173"/>
      <c r="D18" s="49"/>
      <c r="E18" s="54" t="s">
        <v>126</v>
      </c>
      <c r="F18" s="49">
        <f>205455</f>
        <v>205455</v>
      </c>
      <c r="G18" s="49">
        <f>205455</f>
        <v>205455</v>
      </c>
    </row>
    <row r="19" spans="1:7" ht="18.95" customHeight="1" x14ac:dyDescent="0.3">
      <c r="A19" s="46"/>
      <c r="B19" s="54"/>
      <c r="C19" s="173"/>
      <c r="D19" s="49"/>
      <c r="E19" s="54" t="s">
        <v>15</v>
      </c>
      <c r="F19" s="49">
        <f>15426278.6</f>
        <v>15426278.6</v>
      </c>
      <c r="G19" s="49">
        <f>15426278.6</f>
        <v>15426278.6</v>
      </c>
    </row>
    <row r="20" spans="1:7" ht="18.95" customHeight="1" x14ac:dyDescent="0.3">
      <c r="A20" s="46" t="s">
        <v>127</v>
      </c>
      <c r="B20" s="54"/>
      <c r="C20" s="173"/>
      <c r="D20" s="49"/>
      <c r="E20" s="54"/>
      <c r="F20" s="173"/>
      <c r="G20" s="49"/>
    </row>
    <row r="21" spans="1:7" ht="18.95" customHeight="1" x14ac:dyDescent="0.3">
      <c r="A21" s="46"/>
      <c r="B21" s="54" t="s">
        <v>128</v>
      </c>
      <c r="C21" s="196">
        <f>D21</f>
        <v>1490082.5</v>
      </c>
      <c r="D21" s="49">
        <f>1490082.5</f>
        <v>1490082.5</v>
      </c>
      <c r="E21" s="54"/>
      <c r="F21" s="173"/>
      <c r="G21" s="49"/>
    </row>
    <row r="22" spans="1:7" ht="18.95" customHeight="1" x14ac:dyDescent="0.3">
      <c r="A22" s="46"/>
      <c r="B22" s="54" t="s">
        <v>129</v>
      </c>
      <c r="C22" s="196">
        <f t="shared" ref="C22:C35" si="0">D22</f>
        <v>1523663.01</v>
      </c>
      <c r="D22" s="49">
        <f>1523663.01</f>
        <v>1523663.01</v>
      </c>
      <c r="E22" s="54"/>
      <c r="F22" s="173"/>
      <c r="G22" s="49"/>
    </row>
    <row r="23" spans="1:7" ht="18.95" customHeight="1" x14ac:dyDescent="0.3">
      <c r="A23" s="46"/>
      <c r="B23" s="54" t="s">
        <v>130</v>
      </c>
      <c r="C23" s="196">
        <f>D23+95972</f>
        <v>3685712.07</v>
      </c>
      <c r="D23" s="49">
        <f>3186360.07+403380</f>
        <v>3589740.07</v>
      </c>
      <c r="E23" s="54"/>
      <c r="F23" s="173"/>
      <c r="G23" s="49"/>
    </row>
    <row r="24" spans="1:7" ht="18.95" customHeight="1" x14ac:dyDescent="0.3">
      <c r="A24" s="46"/>
      <c r="B24" s="54" t="s">
        <v>131</v>
      </c>
      <c r="C24" s="196">
        <f>D24+177950</f>
        <v>467439.5</v>
      </c>
      <c r="D24" s="49">
        <f>169509.5+119980</f>
        <v>289489.5</v>
      </c>
      <c r="E24" s="54"/>
      <c r="F24" s="173"/>
      <c r="G24" s="49"/>
    </row>
    <row r="25" spans="1:7" ht="18.95" customHeight="1" x14ac:dyDescent="0.3">
      <c r="A25" s="46"/>
      <c r="B25" s="54" t="s">
        <v>64</v>
      </c>
      <c r="C25" s="196">
        <f>D25+724900</f>
        <v>7417600</v>
      </c>
      <c r="D25" s="49">
        <f>6017700+675000</f>
        <v>6692700</v>
      </c>
      <c r="E25" s="54"/>
      <c r="F25" s="173"/>
      <c r="G25" s="49"/>
    </row>
    <row r="26" spans="1:7" ht="18.95" customHeight="1" x14ac:dyDescent="0.3">
      <c r="A26" s="46"/>
      <c r="B26" s="54" t="s">
        <v>132</v>
      </c>
      <c r="C26" s="196">
        <f>D26+85000</f>
        <v>617743.5</v>
      </c>
      <c r="D26" s="49">
        <f>516743.5+16000</f>
        <v>532743.5</v>
      </c>
      <c r="E26" s="54"/>
      <c r="F26" s="173"/>
      <c r="G26" s="49"/>
    </row>
    <row r="27" spans="1:7" ht="18.95" customHeight="1" x14ac:dyDescent="0.3">
      <c r="A27" s="46"/>
      <c r="B27" s="54" t="s">
        <v>133</v>
      </c>
      <c r="C27" s="196">
        <f>D27+15790</f>
        <v>17052.599999999999</v>
      </c>
      <c r="D27" s="49">
        <f>1262.6</f>
        <v>1262.5999999999999</v>
      </c>
      <c r="E27" s="54"/>
      <c r="F27" s="173"/>
      <c r="G27" s="49"/>
    </row>
    <row r="28" spans="1:7" ht="18.95" customHeight="1" x14ac:dyDescent="0.3">
      <c r="A28" s="46"/>
      <c r="B28" s="54" t="s">
        <v>65</v>
      </c>
      <c r="C28" s="196">
        <f t="shared" si="0"/>
        <v>1119676</v>
      </c>
      <c r="D28" s="49">
        <f>369338+750338</f>
        <v>1119676</v>
      </c>
      <c r="E28" s="54"/>
      <c r="F28" s="173"/>
      <c r="G28" s="49"/>
    </row>
    <row r="29" spans="1:7" ht="18.95" customHeight="1" x14ac:dyDescent="0.3">
      <c r="A29" s="46"/>
      <c r="B29" s="54" t="s">
        <v>134</v>
      </c>
      <c r="C29" s="196">
        <f>D29+580400</f>
        <v>740240</v>
      </c>
      <c r="D29" s="49">
        <f>23840+136000</f>
        <v>159840</v>
      </c>
      <c r="E29" s="54"/>
      <c r="F29" s="173"/>
      <c r="G29" s="49"/>
    </row>
    <row r="30" spans="1:7" ht="18.95" customHeight="1" x14ac:dyDescent="0.3">
      <c r="A30" s="46"/>
      <c r="B30" s="54" t="s">
        <v>135</v>
      </c>
      <c r="C30" s="196">
        <f>D30+6000</f>
        <v>116550</v>
      </c>
      <c r="D30" s="49">
        <f>90050+20500</f>
        <v>110550</v>
      </c>
      <c r="E30" s="54"/>
      <c r="F30" s="173"/>
      <c r="G30" s="49"/>
    </row>
    <row r="31" spans="1:7" ht="18.95" customHeight="1" x14ac:dyDescent="0.3">
      <c r="A31" s="46"/>
      <c r="B31" s="54" t="s">
        <v>136</v>
      </c>
      <c r="C31" s="196">
        <f>D31+54000</f>
        <v>116500</v>
      </c>
      <c r="D31" s="49">
        <f>62500</f>
        <v>62500</v>
      </c>
      <c r="E31" s="54"/>
      <c r="F31" s="173"/>
      <c r="G31" s="49"/>
    </row>
    <row r="32" spans="1:7" ht="18.95" customHeight="1" x14ac:dyDescent="0.3">
      <c r="A32" s="46"/>
      <c r="B32" s="54" t="s">
        <v>137</v>
      </c>
      <c r="C32" s="196">
        <f t="shared" si="0"/>
        <v>249000</v>
      </c>
      <c r="D32" s="49">
        <f>249000</f>
        <v>249000</v>
      </c>
      <c r="E32" s="54"/>
      <c r="F32" s="173"/>
      <c r="G32" s="49"/>
    </row>
    <row r="33" spans="1:7" ht="18.95" customHeight="1" x14ac:dyDescent="0.3">
      <c r="A33" s="46"/>
      <c r="B33" s="54" t="s">
        <v>197</v>
      </c>
      <c r="C33" s="196">
        <f>D33+10970</f>
        <v>16570</v>
      </c>
      <c r="D33" s="49">
        <v>5600</v>
      </c>
      <c r="E33" s="54"/>
      <c r="F33" s="173"/>
      <c r="G33" s="49"/>
    </row>
    <row r="34" spans="1:7" ht="18.95" customHeight="1" x14ac:dyDescent="0.3">
      <c r="A34" s="46"/>
      <c r="B34" s="54" t="s">
        <v>198</v>
      </c>
      <c r="C34" s="196">
        <f>D34+13000</f>
        <v>72000</v>
      </c>
      <c r="D34" s="49">
        <v>59000</v>
      </c>
      <c r="E34" s="54"/>
      <c r="F34" s="173"/>
      <c r="G34" s="49"/>
    </row>
    <row r="35" spans="1:7" ht="18.95" customHeight="1" x14ac:dyDescent="0.3">
      <c r="A35" s="46"/>
      <c r="B35" s="54" t="s">
        <v>138</v>
      </c>
      <c r="C35" s="196">
        <f t="shared" si="0"/>
        <v>193000</v>
      </c>
      <c r="D35" s="49">
        <f>46000+147000</f>
        <v>193000</v>
      </c>
      <c r="E35" s="54"/>
      <c r="F35" s="173"/>
      <c r="G35" s="49"/>
    </row>
    <row r="36" spans="1:7" ht="18.95" customHeight="1" x14ac:dyDescent="0.3">
      <c r="A36" s="51" t="s">
        <v>24</v>
      </c>
      <c r="B36" s="174"/>
      <c r="C36" s="197">
        <f>SUM(C11:C35)</f>
        <v>48455953.18</v>
      </c>
      <c r="D36" s="175">
        <f>SUM(D11:D35)</f>
        <v>46691971.18</v>
      </c>
      <c r="E36" s="174"/>
      <c r="F36" s="197">
        <f>SUM(F11:F35)</f>
        <v>48455953.18</v>
      </c>
      <c r="G36" s="175">
        <f>SUM(G11:G35)</f>
        <v>46691971.18</v>
      </c>
    </row>
    <row r="37" spans="1:7" ht="9.9499999999999993" customHeight="1" x14ac:dyDescent="0.3"/>
    <row r="38" spans="1:7" ht="18.95" customHeight="1" x14ac:dyDescent="0.3">
      <c r="A38" s="4" t="s">
        <v>139</v>
      </c>
    </row>
    <row r="39" spans="1:7" ht="18.95" customHeight="1" x14ac:dyDescent="0.3">
      <c r="B39" s="4" t="s">
        <v>140</v>
      </c>
    </row>
    <row r="40" spans="1:7" ht="18.95" customHeight="1" x14ac:dyDescent="0.3">
      <c r="A40" s="4" t="s">
        <v>142</v>
      </c>
    </row>
    <row r="41" spans="1:7" x14ac:dyDescent="0.3">
      <c r="A41" s="4" t="s">
        <v>143</v>
      </c>
    </row>
    <row r="42" spans="1:7" x14ac:dyDescent="0.3">
      <c r="B42" s="4" t="s">
        <v>141</v>
      </c>
    </row>
  </sheetData>
  <mergeCells count="7">
    <mergeCell ref="A7:B8"/>
    <mergeCell ref="E7:G7"/>
    <mergeCell ref="A1:G1"/>
    <mergeCell ref="A2:G2"/>
    <mergeCell ref="A3:G3"/>
    <mergeCell ref="C7:D8"/>
    <mergeCell ref="F8:G8"/>
  </mergeCells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13" sqref="E13"/>
    </sheetView>
  </sheetViews>
  <sheetFormatPr defaultRowHeight="18.75" x14ac:dyDescent="0.3"/>
  <cols>
    <col min="1" max="1" width="2.625" style="4" customWidth="1"/>
    <col min="2" max="2" width="22.625" style="4" customWidth="1"/>
    <col min="3" max="3" width="12.625" style="4" customWidth="1"/>
    <col min="4" max="4" width="10.625" style="4" customWidth="1"/>
    <col min="5" max="5" width="9.625" style="4" customWidth="1"/>
    <col min="6" max="6" width="12.625" style="6" customWidth="1"/>
    <col min="7" max="7" width="18.625" style="4" customWidth="1"/>
    <col min="8" max="8" width="12.625" style="4" customWidth="1"/>
    <col min="9" max="9" width="10.625" style="4" customWidth="1"/>
    <col min="10" max="10" width="9.625" style="4" customWidth="1"/>
    <col min="11" max="11" width="12.625" style="6" customWidth="1"/>
    <col min="12" max="16384" width="9" style="4"/>
  </cols>
  <sheetData>
    <row r="1" spans="1:11" ht="18.600000000000001" customHeight="1" x14ac:dyDescent="0.3">
      <c r="A1" s="223" t="s">
        <v>59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8.600000000000001" customHeight="1" x14ac:dyDescent="0.3">
      <c r="A2" s="223" t="s">
        <v>351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1" ht="5.0999999999999996" customHeight="1" x14ac:dyDescent="0.3"/>
    <row r="4" spans="1:11" ht="17.45" customHeight="1" x14ac:dyDescent="0.3">
      <c r="A4" s="216" t="s">
        <v>107</v>
      </c>
      <c r="B4" s="217"/>
      <c r="C4" s="198" t="s">
        <v>346</v>
      </c>
      <c r="D4" s="216" t="s">
        <v>347</v>
      </c>
      <c r="E4" s="230" t="s">
        <v>348</v>
      </c>
      <c r="F4" s="198" t="s">
        <v>349</v>
      </c>
      <c r="G4" s="217" t="s">
        <v>350</v>
      </c>
      <c r="H4" s="198" t="s">
        <v>346</v>
      </c>
      <c r="I4" s="216" t="s">
        <v>347</v>
      </c>
      <c r="J4" s="230" t="s">
        <v>348</v>
      </c>
      <c r="K4" s="198" t="s">
        <v>349</v>
      </c>
    </row>
    <row r="5" spans="1:11" ht="17.45" customHeight="1" x14ac:dyDescent="0.3">
      <c r="A5" s="218"/>
      <c r="B5" s="219"/>
      <c r="C5" s="199">
        <v>22190</v>
      </c>
      <c r="D5" s="218"/>
      <c r="E5" s="231"/>
      <c r="F5" s="199">
        <v>22554</v>
      </c>
      <c r="G5" s="219"/>
      <c r="H5" s="199">
        <v>22190</v>
      </c>
      <c r="I5" s="218"/>
      <c r="J5" s="231"/>
      <c r="K5" s="199">
        <v>22554</v>
      </c>
    </row>
    <row r="6" spans="1:11" ht="18" customHeight="1" x14ac:dyDescent="0.3">
      <c r="A6" s="46" t="s">
        <v>112</v>
      </c>
      <c r="B6" s="54"/>
      <c r="C6" s="172"/>
      <c r="D6" s="173"/>
      <c r="E6" s="173"/>
      <c r="F6" s="49"/>
      <c r="G6" s="54"/>
      <c r="H6" s="173"/>
      <c r="I6" s="173"/>
      <c r="J6" s="173"/>
      <c r="K6" s="49"/>
    </row>
    <row r="7" spans="1:11" ht="18" customHeight="1" x14ac:dyDescent="0.3">
      <c r="A7" s="46" t="s">
        <v>113</v>
      </c>
      <c r="B7" s="54" t="s">
        <v>114</v>
      </c>
      <c r="C7" s="49">
        <v>5544850</v>
      </c>
      <c r="D7" s="49"/>
      <c r="E7" s="49"/>
      <c r="F7" s="49">
        <v>5544850</v>
      </c>
      <c r="G7" s="54" t="s">
        <v>120</v>
      </c>
      <c r="H7" s="49">
        <f>1962350</f>
        <v>1962350</v>
      </c>
      <c r="I7" s="49"/>
      <c r="J7" s="49"/>
      <c r="K7" s="49">
        <f>H7+I7+J7</f>
        <v>1962350</v>
      </c>
    </row>
    <row r="8" spans="1:11" ht="18" customHeight="1" x14ac:dyDescent="0.3">
      <c r="A8" s="46"/>
      <c r="B8" s="54" t="s">
        <v>115</v>
      </c>
      <c r="C8" s="49">
        <v>8101690</v>
      </c>
      <c r="D8" s="49"/>
      <c r="E8" s="49"/>
      <c r="F8" s="49">
        <v>8101690</v>
      </c>
      <c r="G8" s="54" t="s">
        <v>339</v>
      </c>
      <c r="H8" s="49">
        <f>1746000</f>
        <v>1746000</v>
      </c>
      <c r="I8" s="49"/>
      <c r="J8" s="49"/>
      <c r="K8" s="49">
        <f t="shared" ref="K8:K15" si="0">H8+I8+J8</f>
        <v>1746000</v>
      </c>
    </row>
    <row r="9" spans="1:11" ht="18" customHeight="1" x14ac:dyDescent="0.3">
      <c r="A9" s="46"/>
      <c r="B9" s="54" t="s">
        <v>116</v>
      </c>
      <c r="C9" s="49">
        <v>8098322</v>
      </c>
      <c r="D9" s="49"/>
      <c r="E9" s="49"/>
      <c r="F9" s="49">
        <v>8098322</v>
      </c>
      <c r="G9" s="54" t="s">
        <v>121</v>
      </c>
      <c r="H9" s="49">
        <f>85800</f>
        <v>85800</v>
      </c>
      <c r="I9" s="49"/>
      <c r="J9" s="49"/>
      <c r="K9" s="49">
        <f t="shared" si="0"/>
        <v>85800</v>
      </c>
    </row>
    <row r="10" spans="1:11" ht="18" customHeight="1" x14ac:dyDescent="0.3">
      <c r="A10" s="46"/>
      <c r="B10" s="54" t="s">
        <v>117</v>
      </c>
      <c r="C10" s="49">
        <v>3261943</v>
      </c>
      <c r="D10" s="49"/>
      <c r="E10" s="49"/>
      <c r="F10" s="49">
        <v>3261943</v>
      </c>
      <c r="G10" s="54" t="s">
        <v>122</v>
      </c>
      <c r="H10" s="49">
        <f>11444660.8+2332798</f>
        <v>13777458.800000001</v>
      </c>
      <c r="I10" s="49">
        <v>1763982</v>
      </c>
      <c r="J10" s="49"/>
      <c r="K10" s="49">
        <f t="shared" si="0"/>
        <v>15541440.800000001</v>
      </c>
    </row>
    <row r="11" spans="1:11" ht="18" customHeight="1" x14ac:dyDescent="0.3">
      <c r="A11" s="46"/>
      <c r="B11" s="54" t="s">
        <v>118</v>
      </c>
      <c r="C11" s="49">
        <v>4854399</v>
      </c>
      <c r="D11" s="49"/>
      <c r="E11" s="49"/>
      <c r="F11" s="49">
        <v>4854399</v>
      </c>
      <c r="G11" s="54" t="s">
        <v>123</v>
      </c>
      <c r="H11" s="49">
        <f>440000</f>
        <v>440000</v>
      </c>
      <c r="I11" s="49"/>
      <c r="J11" s="49"/>
      <c r="K11" s="49">
        <f t="shared" si="0"/>
        <v>440000</v>
      </c>
    </row>
    <row r="12" spans="1:11" ht="18" customHeight="1" x14ac:dyDescent="0.3">
      <c r="A12" s="46"/>
      <c r="B12" s="54" t="s">
        <v>119</v>
      </c>
      <c r="C12" s="49">
        <v>751920</v>
      </c>
      <c r="D12" s="49"/>
      <c r="E12" s="49"/>
      <c r="F12" s="49">
        <v>751920</v>
      </c>
      <c r="G12" s="54" t="s">
        <v>124</v>
      </c>
      <c r="H12" s="49">
        <f>1577989</f>
        <v>1577989</v>
      </c>
      <c r="I12" s="49"/>
      <c r="J12" s="49"/>
      <c r="K12" s="49">
        <f t="shared" si="0"/>
        <v>1577989</v>
      </c>
    </row>
    <row r="13" spans="1:11" ht="18" customHeight="1" x14ac:dyDescent="0.3">
      <c r="A13" s="46"/>
      <c r="B13" s="54"/>
      <c r="C13" s="173"/>
      <c r="D13" s="173"/>
      <c r="E13" s="173"/>
      <c r="F13" s="49"/>
      <c r="G13" s="54" t="s">
        <v>125</v>
      </c>
      <c r="H13" s="49">
        <f>11470639.78</f>
        <v>11470639.779999999</v>
      </c>
      <c r="I13" s="49"/>
      <c r="J13" s="49"/>
      <c r="K13" s="49">
        <f t="shared" si="0"/>
        <v>11470639.779999999</v>
      </c>
    </row>
    <row r="14" spans="1:11" ht="18" customHeight="1" x14ac:dyDescent="0.3">
      <c r="A14" s="46"/>
      <c r="B14" s="54"/>
      <c r="C14" s="173"/>
      <c r="D14" s="173"/>
      <c r="E14" s="173"/>
      <c r="F14" s="49"/>
      <c r="G14" s="54" t="s">
        <v>126</v>
      </c>
      <c r="H14" s="49">
        <f>205455</f>
        <v>205455</v>
      </c>
      <c r="I14" s="49"/>
      <c r="J14" s="49"/>
      <c r="K14" s="49">
        <f t="shared" si="0"/>
        <v>205455</v>
      </c>
    </row>
    <row r="15" spans="1:11" ht="18" customHeight="1" x14ac:dyDescent="0.3">
      <c r="A15" s="46"/>
      <c r="B15" s="54"/>
      <c r="C15" s="173"/>
      <c r="D15" s="173"/>
      <c r="E15" s="173"/>
      <c r="F15" s="49"/>
      <c r="G15" s="54" t="s">
        <v>15</v>
      </c>
      <c r="H15" s="49">
        <f>15426278.6</f>
        <v>15426278.6</v>
      </c>
      <c r="I15" s="49"/>
      <c r="J15" s="49"/>
      <c r="K15" s="49">
        <f t="shared" si="0"/>
        <v>15426278.6</v>
      </c>
    </row>
    <row r="16" spans="1:11" ht="18" customHeight="1" x14ac:dyDescent="0.3">
      <c r="A16" s="46" t="s">
        <v>127</v>
      </c>
      <c r="B16" s="54"/>
      <c r="C16" s="173"/>
      <c r="D16" s="173"/>
      <c r="E16" s="173"/>
      <c r="F16" s="49"/>
      <c r="G16" s="54"/>
      <c r="H16" s="173"/>
      <c r="I16" s="173"/>
      <c r="J16" s="173"/>
      <c r="K16" s="49"/>
    </row>
    <row r="17" spans="1:11" ht="18" customHeight="1" x14ac:dyDescent="0.3">
      <c r="A17" s="46"/>
      <c r="B17" s="54" t="s">
        <v>128</v>
      </c>
      <c r="C17" s="49">
        <f>1490082.5</f>
        <v>1490082.5</v>
      </c>
      <c r="D17" s="196"/>
      <c r="E17" s="196"/>
      <c r="F17" s="49">
        <f>C17+D17-E17</f>
        <v>1490082.5</v>
      </c>
      <c r="G17" s="54"/>
      <c r="H17" s="173"/>
      <c r="I17" s="173"/>
      <c r="J17" s="173"/>
      <c r="K17" s="49"/>
    </row>
    <row r="18" spans="1:11" ht="18" customHeight="1" x14ac:dyDescent="0.3">
      <c r="A18" s="46"/>
      <c r="B18" s="54" t="s">
        <v>129</v>
      </c>
      <c r="C18" s="49">
        <f>1523663.01</f>
        <v>1523663.01</v>
      </c>
      <c r="D18" s="196"/>
      <c r="E18" s="196"/>
      <c r="F18" s="49">
        <f t="shared" ref="F18:F31" si="1">C18+D18-E18</f>
        <v>1523663.01</v>
      </c>
      <c r="G18" s="54"/>
      <c r="H18" s="173"/>
      <c r="I18" s="173"/>
      <c r="J18" s="173"/>
      <c r="K18" s="49"/>
    </row>
    <row r="19" spans="1:11" ht="18" customHeight="1" x14ac:dyDescent="0.3">
      <c r="A19" s="46"/>
      <c r="B19" s="54" t="s">
        <v>130</v>
      </c>
      <c r="C19" s="49">
        <f>3186360.07+403380</f>
        <v>3589740.07</v>
      </c>
      <c r="D19" s="196">
        <v>95972</v>
      </c>
      <c r="E19" s="196"/>
      <c r="F19" s="49">
        <f t="shared" si="1"/>
        <v>3685712.07</v>
      </c>
      <c r="G19" s="54"/>
      <c r="H19" s="173"/>
      <c r="I19" s="173"/>
      <c r="J19" s="173"/>
      <c r="K19" s="49"/>
    </row>
    <row r="20" spans="1:11" ht="18" customHeight="1" x14ac:dyDescent="0.3">
      <c r="A20" s="46"/>
      <c r="B20" s="54" t="s">
        <v>131</v>
      </c>
      <c r="C20" s="49">
        <f>169509.5+119980</f>
        <v>289489.5</v>
      </c>
      <c r="D20" s="196">
        <v>177950</v>
      </c>
      <c r="E20" s="196"/>
      <c r="F20" s="49">
        <f t="shared" si="1"/>
        <v>467439.5</v>
      </c>
      <c r="G20" s="54"/>
      <c r="H20" s="173"/>
      <c r="I20" s="173"/>
      <c r="J20" s="173"/>
      <c r="K20" s="49"/>
    </row>
    <row r="21" spans="1:11" ht="18" customHeight="1" x14ac:dyDescent="0.3">
      <c r="A21" s="46"/>
      <c r="B21" s="54" t="s">
        <v>64</v>
      </c>
      <c r="C21" s="49">
        <f>6017700+675000</f>
        <v>6692700</v>
      </c>
      <c r="D21" s="196">
        <v>724900</v>
      </c>
      <c r="E21" s="196"/>
      <c r="F21" s="49">
        <f t="shared" si="1"/>
        <v>7417600</v>
      </c>
      <c r="G21" s="54"/>
      <c r="H21" s="173"/>
      <c r="I21" s="173"/>
      <c r="J21" s="173"/>
      <c r="K21" s="49"/>
    </row>
    <row r="22" spans="1:11" ht="18" customHeight="1" x14ac:dyDescent="0.3">
      <c r="A22" s="46"/>
      <c r="B22" s="54" t="s">
        <v>132</v>
      </c>
      <c r="C22" s="49">
        <f>516743.5+16000</f>
        <v>532743.5</v>
      </c>
      <c r="D22" s="196">
        <v>85000</v>
      </c>
      <c r="E22" s="196"/>
      <c r="F22" s="49">
        <f t="shared" si="1"/>
        <v>617743.5</v>
      </c>
      <c r="G22" s="54"/>
      <c r="H22" s="173"/>
      <c r="I22" s="173"/>
      <c r="J22" s="173"/>
      <c r="K22" s="49"/>
    </row>
    <row r="23" spans="1:11" ht="18" customHeight="1" x14ac:dyDescent="0.3">
      <c r="A23" s="46"/>
      <c r="B23" s="54" t="s">
        <v>133</v>
      </c>
      <c r="C23" s="49">
        <f>1262.6</f>
        <v>1262.5999999999999</v>
      </c>
      <c r="D23" s="196">
        <v>15790</v>
      </c>
      <c r="E23" s="196"/>
      <c r="F23" s="49">
        <f t="shared" si="1"/>
        <v>17052.599999999999</v>
      </c>
      <c r="G23" s="54"/>
      <c r="H23" s="173"/>
      <c r="I23" s="173"/>
      <c r="J23" s="173"/>
      <c r="K23" s="49"/>
    </row>
    <row r="24" spans="1:11" ht="18" customHeight="1" x14ac:dyDescent="0.3">
      <c r="A24" s="46"/>
      <c r="B24" s="54" t="s">
        <v>65</v>
      </c>
      <c r="C24" s="49">
        <f>369338+750338</f>
        <v>1119676</v>
      </c>
      <c r="D24" s="196"/>
      <c r="E24" s="196"/>
      <c r="F24" s="49">
        <f t="shared" si="1"/>
        <v>1119676</v>
      </c>
      <c r="G24" s="54"/>
      <c r="H24" s="173"/>
      <c r="I24" s="173"/>
      <c r="J24" s="173"/>
      <c r="K24" s="49"/>
    </row>
    <row r="25" spans="1:11" ht="18" customHeight="1" x14ac:dyDescent="0.3">
      <c r="A25" s="46"/>
      <c r="B25" s="54" t="s">
        <v>134</v>
      </c>
      <c r="C25" s="49">
        <f>23840+136000</f>
        <v>159840</v>
      </c>
      <c r="D25" s="196">
        <v>580400</v>
      </c>
      <c r="E25" s="196"/>
      <c r="F25" s="49">
        <f t="shared" si="1"/>
        <v>740240</v>
      </c>
      <c r="G25" s="54"/>
      <c r="H25" s="173"/>
      <c r="I25" s="173"/>
      <c r="J25" s="173"/>
      <c r="K25" s="49"/>
    </row>
    <row r="26" spans="1:11" ht="18" customHeight="1" x14ac:dyDescent="0.3">
      <c r="A26" s="46"/>
      <c r="B26" s="54" t="s">
        <v>135</v>
      </c>
      <c r="C26" s="49">
        <f>90050+20500</f>
        <v>110550</v>
      </c>
      <c r="D26" s="196">
        <v>6000</v>
      </c>
      <c r="E26" s="196"/>
      <c r="F26" s="49">
        <f t="shared" si="1"/>
        <v>116550</v>
      </c>
      <c r="G26" s="54"/>
      <c r="H26" s="173"/>
      <c r="I26" s="173"/>
      <c r="J26" s="173"/>
      <c r="K26" s="49"/>
    </row>
    <row r="27" spans="1:11" ht="18" customHeight="1" x14ac:dyDescent="0.3">
      <c r="A27" s="46"/>
      <c r="B27" s="54" t="s">
        <v>136</v>
      </c>
      <c r="C27" s="49">
        <f>62500</f>
        <v>62500</v>
      </c>
      <c r="D27" s="196">
        <v>54000</v>
      </c>
      <c r="E27" s="196"/>
      <c r="F27" s="49">
        <f t="shared" si="1"/>
        <v>116500</v>
      </c>
      <c r="G27" s="54"/>
      <c r="H27" s="173"/>
      <c r="I27" s="173"/>
      <c r="J27" s="173"/>
      <c r="K27" s="49"/>
    </row>
    <row r="28" spans="1:11" ht="18" customHeight="1" x14ac:dyDescent="0.3">
      <c r="A28" s="46"/>
      <c r="B28" s="54" t="s">
        <v>137</v>
      </c>
      <c r="C28" s="49">
        <f>249000</f>
        <v>249000</v>
      </c>
      <c r="D28" s="196"/>
      <c r="E28" s="196"/>
      <c r="F28" s="49">
        <f t="shared" si="1"/>
        <v>249000</v>
      </c>
      <c r="G28" s="54"/>
      <c r="H28" s="173"/>
      <c r="I28" s="173"/>
      <c r="J28" s="173"/>
      <c r="K28" s="49"/>
    </row>
    <row r="29" spans="1:11" ht="18" customHeight="1" x14ac:dyDescent="0.3">
      <c r="A29" s="46"/>
      <c r="B29" s="54" t="s">
        <v>197</v>
      </c>
      <c r="C29" s="49">
        <v>5600</v>
      </c>
      <c r="D29" s="196">
        <v>10970</v>
      </c>
      <c r="E29" s="196"/>
      <c r="F29" s="49">
        <f t="shared" si="1"/>
        <v>16570</v>
      </c>
      <c r="G29" s="54"/>
      <c r="H29" s="173"/>
      <c r="I29" s="173"/>
      <c r="J29" s="173"/>
      <c r="K29" s="49"/>
    </row>
    <row r="30" spans="1:11" ht="18" customHeight="1" x14ac:dyDescent="0.3">
      <c r="A30" s="46"/>
      <c r="B30" s="54" t="s">
        <v>198</v>
      </c>
      <c r="C30" s="49">
        <v>59000</v>
      </c>
      <c r="D30" s="196">
        <v>13000</v>
      </c>
      <c r="E30" s="196"/>
      <c r="F30" s="49">
        <f t="shared" si="1"/>
        <v>72000</v>
      </c>
      <c r="G30" s="54"/>
      <c r="H30" s="173"/>
      <c r="I30" s="173"/>
      <c r="J30" s="173"/>
      <c r="K30" s="49"/>
    </row>
    <row r="31" spans="1:11" ht="18" customHeight="1" x14ac:dyDescent="0.3">
      <c r="A31" s="46"/>
      <c r="B31" s="54" t="s">
        <v>138</v>
      </c>
      <c r="C31" s="49">
        <f>46000+147000</f>
        <v>193000</v>
      </c>
      <c r="D31" s="196"/>
      <c r="E31" s="196"/>
      <c r="F31" s="49">
        <f t="shared" si="1"/>
        <v>193000</v>
      </c>
      <c r="G31" s="54"/>
      <c r="H31" s="173"/>
      <c r="I31" s="173"/>
      <c r="J31" s="173"/>
      <c r="K31" s="49"/>
    </row>
    <row r="32" spans="1:11" ht="18" customHeight="1" x14ac:dyDescent="0.3">
      <c r="A32" s="232" t="s">
        <v>24</v>
      </c>
      <c r="B32" s="233"/>
      <c r="C32" s="175">
        <f>SUM(C7:C31)</f>
        <v>46691971.18</v>
      </c>
      <c r="D32" s="197">
        <f>SUM(D6:D31)</f>
        <v>1763982</v>
      </c>
      <c r="E32" s="197">
        <v>0</v>
      </c>
      <c r="F32" s="175">
        <f>SUM(F7:F31)</f>
        <v>48455953.18</v>
      </c>
      <c r="G32" s="174"/>
      <c r="H32" s="197">
        <f>SUM(H7:H31)</f>
        <v>46691971.18</v>
      </c>
      <c r="I32" s="197">
        <f>SUM(I7:I31)</f>
        <v>1763982</v>
      </c>
      <c r="J32" s="197">
        <v>0</v>
      </c>
      <c r="K32" s="175">
        <f>SUM(K7:K31)</f>
        <v>48455953.18</v>
      </c>
    </row>
  </sheetData>
  <mergeCells count="9">
    <mergeCell ref="I4:I5"/>
    <mergeCell ref="J4:J5"/>
    <mergeCell ref="A32:B32"/>
    <mergeCell ref="A1:K1"/>
    <mergeCell ref="A2:K2"/>
    <mergeCell ref="A4:B5"/>
    <mergeCell ref="D4:D5"/>
    <mergeCell ref="E4:E5"/>
    <mergeCell ref="G4:G5"/>
  </mergeCells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130" zoomScaleNormal="130" workbookViewId="0">
      <selection activeCell="B11" sqref="B11"/>
    </sheetView>
  </sheetViews>
  <sheetFormatPr defaultRowHeight="21" x14ac:dyDescent="0.35"/>
  <cols>
    <col min="1" max="1" width="40.625" style="1" customWidth="1"/>
    <col min="2" max="2" width="15.625" style="41" customWidth="1"/>
    <col min="3" max="4" width="15.625" style="3" customWidth="1"/>
    <col min="5" max="6" width="9" style="1"/>
    <col min="7" max="7" width="12.5" style="1" customWidth="1"/>
    <col min="8" max="16384" width="9" style="1"/>
  </cols>
  <sheetData>
    <row r="1" spans="1:4" s="39" customFormat="1" x14ac:dyDescent="0.2">
      <c r="A1" s="236" t="s">
        <v>59</v>
      </c>
      <c r="B1" s="236"/>
      <c r="C1" s="236"/>
      <c r="D1" s="236"/>
    </row>
    <row r="2" spans="1:4" s="40" customFormat="1" x14ac:dyDescent="0.2">
      <c r="A2" s="237" t="s">
        <v>162</v>
      </c>
      <c r="B2" s="237"/>
      <c r="C2" s="237"/>
      <c r="D2" s="237"/>
    </row>
    <row r="3" spans="1:4" s="40" customFormat="1" x14ac:dyDescent="0.2">
      <c r="A3" s="237" t="s">
        <v>200</v>
      </c>
      <c r="B3" s="237"/>
      <c r="C3" s="237"/>
      <c r="D3" s="237"/>
    </row>
    <row r="4" spans="1:4" ht="9.9499999999999993" customHeight="1" x14ac:dyDescent="0.35"/>
    <row r="5" spans="1:4" s="40" customFormat="1" ht="20.100000000000001" customHeight="1" x14ac:dyDescent="0.2">
      <c r="A5" s="42" t="s">
        <v>163</v>
      </c>
      <c r="B5" s="43" t="s">
        <v>149</v>
      </c>
      <c r="C5" s="44" t="s">
        <v>164</v>
      </c>
      <c r="D5" s="45" t="s">
        <v>165</v>
      </c>
    </row>
    <row r="6" spans="1:4" s="4" customFormat="1" ht="20.100000000000001" customHeight="1" x14ac:dyDescent="0.3">
      <c r="A6" s="46" t="s">
        <v>166</v>
      </c>
      <c r="B6" s="47">
        <v>11012001</v>
      </c>
      <c r="C6" s="48">
        <v>13745541.699999999</v>
      </c>
      <c r="D6" s="49"/>
    </row>
    <row r="7" spans="1:4" s="4" customFormat="1" ht="20.100000000000001" customHeight="1" x14ac:dyDescent="0.3">
      <c r="A7" s="46" t="s">
        <v>167</v>
      </c>
      <c r="B7" s="47">
        <v>11012001</v>
      </c>
      <c r="C7" s="48">
        <v>320400.17</v>
      </c>
      <c r="D7" s="49"/>
    </row>
    <row r="8" spans="1:4" s="4" customFormat="1" ht="20.100000000000001" customHeight="1" x14ac:dyDescent="0.3">
      <c r="A8" s="46" t="s">
        <v>168</v>
      </c>
      <c r="B8" s="47">
        <v>11012001</v>
      </c>
      <c r="C8" s="48">
        <v>800.18</v>
      </c>
      <c r="D8" s="49"/>
    </row>
    <row r="9" spans="1:4" s="4" customFormat="1" ht="20.100000000000001" customHeight="1" x14ac:dyDescent="0.3">
      <c r="A9" s="46" t="s">
        <v>169</v>
      </c>
      <c r="B9" s="47">
        <v>11012002</v>
      </c>
      <c r="C9" s="48">
        <v>2270970.0699999998</v>
      </c>
      <c r="D9" s="49"/>
    </row>
    <row r="10" spans="1:4" s="4" customFormat="1" ht="20.100000000000001" customHeight="1" x14ac:dyDescent="0.3">
      <c r="A10" s="46" t="s">
        <v>170</v>
      </c>
      <c r="B10" s="47">
        <v>11012002</v>
      </c>
      <c r="C10" s="48">
        <v>15181222.07</v>
      </c>
      <c r="D10" s="49"/>
    </row>
    <row r="11" spans="1:4" s="4" customFormat="1" ht="20.100000000000001" customHeight="1" x14ac:dyDescent="0.3">
      <c r="A11" s="46" t="s">
        <v>171</v>
      </c>
      <c r="B11" s="47">
        <v>11043001</v>
      </c>
      <c r="C11" s="48">
        <v>96134</v>
      </c>
      <c r="D11" s="49"/>
    </row>
    <row r="12" spans="1:4" s="4" customFormat="1" ht="20.100000000000001" customHeight="1" x14ac:dyDescent="0.3">
      <c r="A12" s="46" t="s">
        <v>172</v>
      </c>
      <c r="B12" s="47">
        <v>11043002</v>
      </c>
      <c r="C12" s="48">
        <v>27347.03</v>
      </c>
      <c r="D12" s="49"/>
    </row>
    <row r="13" spans="1:4" s="4" customFormat="1" ht="20.100000000000001" customHeight="1" x14ac:dyDescent="0.3">
      <c r="A13" s="46" t="s">
        <v>173</v>
      </c>
      <c r="B13" s="47">
        <v>11044000</v>
      </c>
      <c r="C13" s="48">
        <v>4575</v>
      </c>
      <c r="D13" s="49"/>
    </row>
    <row r="14" spans="1:4" s="4" customFormat="1" ht="20.100000000000001" customHeight="1" x14ac:dyDescent="0.3">
      <c r="A14" s="46" t="s">
        <v>174</v>
      </c>
      <c r="B14" s="47">
        <v>11044000</v>
      </c>
      <c r="C14" s="48">
        <v>19010</v>
      </c>
      <c r="D14" s="49"/>
    </row>
    <row r="15" spans="1:4" s="4" customFormat="1" ht="20.100000000000001" customHeight="1" x14ac:dyDescent="0.3">
      <c r="A15" s="46" t="s">
        <v>175</v>
      </c>
      <c r="B15" s="47">
        <v>11045000</v>
      </c>
      <c r="C15" s="48">
        <v>400000</v>
      </c>
      <c r="D15" s="49"/>
    </row>
    <row r="16" spans="1:4" s="4" customFormat="1" ht="20.100000000000001" customHeight="1" x14ac:dyDescent="0.3">
      <c r="A16" s="46" t="s">
        <v>176</v>
      </c>
      <c r="B16" s="47">
        <v>40000000</v>
      </c>
      <c r="C16" s="48"/>
      <c r="D16" s="49">
        <v>26636281.329999998</v>
      </c>
    </row>
    <row r="17" spans="1:7" s="4" customFormat="1" ht="20.100000000000001" customHeight="1" x14ac:dyDescent="0.3">
      <c r="A17" s="46" t="s">
        <v>177</v>
      </c>
      <c r="B17" s="47">
        <v>21010000</v>
      </c>
      <c r="C17" s="48"/>
      <c r="D17" s="49">
        <v>3125442.16</v>
      </c>
    </row>
    <row r="18" spans="1:7" s="4" customFormat="1" ht="20.100000000000001" customHeight="1" x14ac:dyDescent="0.3">
      <c r="A18" s="46" t="s">
        <v>178</v>
      </c>
      <c r="B18" s="47">
        <v>21040000</v>
      </c>
      <c r="C18" s="48"/>
      <c r="D18" s="49">
        <v>1478296.74</v>
      </c>
    </row>
    <row r="19" spans="1:7" s="4" customFormat="1" ht="20.100000000000001" customHeight="1" x14ac:dyDescent="0.3">
      <c r="A19" s="46" t="s">
        <v>15</v>
      </c>
      <c r="B19" s="47">
        <v>31000000</v>
      </c>
      <c r="C19" s="48"/>
      <c r="D19" s="49">
        <v>10946415.24</v>
      </c>
    </row>
    <row r="20" spans="1:7" s="4" customFormat="1" ht="20.100000000000001" customHeight="1" x14ac:dyDescent="0.3">
      <c r="A20" s="46" t="s">
        <v>16</v>
      </c>
      <c r="B20" s="47">
        <v>32000000</v>
      </c>
      <c r="C20" s="48"/>
      <c r="D20" s="49">
        <v>14653633.810000001</v>
      </c>
    </row>
    <row r="21" spans="1:7" s="4" customFormat="1" ht="20.100000000000001" customHeight="1" x14ac:dyDescent="0.3">
      <c r="A21" s="46" t="s">
        <v>179</v>
      </c>
      <c r="B21" s="47">
        <v>51000000</v>
      </c>
      <c r="C21" s="48">
        <v>5923661</v>
      </c>
      <c r="D21" s="49"/>
    </row>
    <row r="22" spans="1:7" s="4" customFormat="1" ht="20.100000000000001" customHeight="1" x14ac:dyDescent="0.3">
      <c r="A22" s="46" t="s">
        <v>180</v>
      </c>
      <c r="B22" s="47">
        <v>52100000</v>
      </c>
      <c r="C22" s="48">
        <v>1447920</v>
      </c>
      <c r="D22" s="49"/>
    </row>
    <row r="23" spans="1:7" s="4" customFormat="1" ht="20.100000000000001" customHeight="1" x14ac:dyDescent="0.3">
      <c r="A23" s="46" t="s">
        <v>181</v>
      </c>
      <c r="B23" s="47">
        <v>52200000</v>
      </c>
      <c r="C23" s="48">
        <v>6720802</v>
      </c>
      <c r="D23" s="49"/>
    </row>
    <row r="24" spans="1:7" s="4" customFormat="1" ht="20.100000000000001" customHeight="1" x14ac:dyDescent="0.3">
      <c r="A24" s="46" t="s">
        <v>182</v>
      </c>
      <c r="B24" s="47">
        <v>53100000</v>
      </c>
      <c r="C24" s="48">
        <v>603460</v>
      </c>
      <c r="D24" s="49"/>
    </row>
    <row r="25" spans="1:7" s="4" customFormat="1" ht="20.100000000000001" customHeight="1" x14ac:dyDescent="0.3">
      <c r="A25" s="46" t="s">
        <v>78</v>
      </c>
      <c r="B25" s="47">
        <v>53200000</v>
      </c>
      <c r="C25" s="48">
        <v>2848700.88</v>
      </c>
      <c r="D25" s="49"/>
    </row>
    <row r="26" spans="1:7" s="4" customFormat="1" ht="20.100000000000001" customHeight="1" x14ac:dyDescent="0.3">
      <c r="A26" s="46" t="s">
        <v>89</v>
      </c>
      <c r="B26" s="47">
        <v>53300000</v>
      </c>
      <c r="C26" s="48">
        <v>1573153.55</v>
      </c>
      <c r="D26" s="49"/>
    </row>
    <row r="27" spans="1:7" s="4" customFormat="1" ht="20.100000000000001" customHeight="1" x14ac:dyDescent="0.3">
      <c r="A27" s="46" t="s">
        <v>183</v>
      </c>
      <c r="B27" s="47">
        <v>53400000</v>
      </c>
      <c r="C27" s="48">
        <v>363969.61</v>
      </c>
      <c r="D27" s="49"/>
    </row>
    <row r="28" spans="1:7" s="4" customFormat="1" ht="20.100000000000001" customHeight="1" x14ac:dyDescent="0.3">
      <c r="A28" s="46" t="s">
        <v>62</v>
      </c>
      <c r="B28" s="47">
        <v>54100000</v>
      </c>
      <c r="C28" s="48">
        <v>999057</v>
      </c>
      <c r="D28" s="49"/>
    </row>
    <row r="29" spans="1:7" s="4" customFormat="1" ht="20.100000000000001" customHeight="1" x14ac:dyDescent="0.3">
      <c r="A29" s="46" t="s">
        <v>44</v>
      </c>
      <c r="B29" s="47">
        <v>54200000</v>
      </c>
      <c r="C29" s="48">
        <v>3343305.02</v>
      </c>
      <c r="D29" s="49"/>
    </row>
    <row r="30" spans="1:7" s="4" customFormat="1" ht="20.100000000000001" customHeight="1" x14ac:dyDescent="0.3">
      <c r="A30" s="46" t="s">
        <v>85</v>
      </c>
      <c r="B30" s="47">
        <v>55100000</v>
      </c>
      <c r="C30" s="48">
        <v>20000</v>
      </c>
      <c r="D30" s="49"/>
    </row>
    <row r="31" spans="1:7" s="4" customFormat="1" ht="20.100000000000001" customHeight="1" x14ac:dyDescent="0.3">
      <c r="A31" s="46" t="s">
        <v>184</v>
      </c>
      <c r="B31" s="47">
        <v>56100000</v>
      </c>
      <c r="C31" s="48">
        <v>930040</v>
      </c>
      <c r="D31" s="49"/>
      <c r="G31" s="50">
        <f>SUM(C32-D32)</f>
        <v>0</v>
      </c>
    </row>
    <row r="32" spans="1:7" s="4" customFormat="1" ht="18" customHeight="1" x14ac:dyDescent="0.3">
      <c r="A32" s="51"/>
      <c r="B32" s="52"/>
      <c r="C32" s="53">
        <f>SUM(C6:C31)</f>
        <v>56840069.280000001</v>
      </c>
      <c r="D32" s="53">
        <f>SUM(D16:D20)</f>
        <v>56840069.280000001</v>
      </c>
    </row>
    <row r="33" spans="1:5" s="4" customFormat="1" ht="18.75" x14ac:dyDescent="0.3">
      <c r="A33" s="54"/>
      <c r="B33" s="55"/>
      <c r="C33" s="56"/>
      <c r="D33" s="56"/>
    </row>
    <row r="34" spans="1:5" s="4" customFormat="1" ht="18.75" x14ac:dyDescent="0.3">
      <c r="A34" s="54"/>
      <c r="B34" s="55"/>
      <c r="C34" s="56"/>
      <c r="D34" s="56"/>
    </row>
    <row r="35" spans="1:5" s="59" customFormat="1" ht="18.75" x14ac:dyDescent="0.2">
      <c r="A35" s="57"/>
      <c r="B35" s="5"/>
      <c r="C35" s="58"/>
      <c r="D35" s="58"/>
    </row>
    <row r="36" spans="1:5" s="4" customFormat="1" ht="17.100000000000001" customHeight="1" x14ac:dyDescent="0.3">
      <c r="A36" s="71" t="s">
        <v>215</v>
      </c>
      <c r="B36" s="59"/>
      <c r="C36" s="238" t="s">
        <v>214</v>
      </c>
      <c r="D36" s="238"/>
      <c r="E36" s="58"/>
    </row>
    <row r="37" spans="1:5" s="59" customFormat="1" ht="17.100000000000001" customHeight="1" x14ac:dyDescent="0.2">
      <c r="A37" s="58" t="s">
        <v>216</v>
      </c>
      <c r="C37" s="238" t="s">
        <v>186</v>
      </c>
      <c r="D37" s="238"/>
      <c r="E37" s="58"/>
    </row>
    <row r="38" spans="1:5" s="59" customFormat="1" ht="17.100000000000001" customHeight="1" x14ac:dyDescent="0.2">
      <c r="A38" s="59" t="s">
        <v>217</v>
      </c>
      <c r="C38" s="58"/>
      <c r="D38" s="58"/>
    </row>
    <row r="39" spans="1:5" s="59" customFormat="1" ht="18.75" x14ac:dyDescent="0.2">
      <c r="A39" s="57"/>
      <c r="B39" s="5"/>
      <c r="C39" s="58"/>
      <c r="D39" s="58"/>
    </row>
    <row r="40" spans="1:5" s="4" customFormat="1" ht="18.75" x14ac:dyDescent="0.3">
      <c r="B40" s="34"/>
      <c r="C40" s="6"/>
      <c r="D40" s="6"/>
    </row>
    <row r="41" spans="1:5" s="59" customFormat="1" ht="18.75" x14ac:dyDescent="0.2">
      <c r="B41" s="5"/>
      <c r="C41" s="58"/>
      <c r="D41" s="58"/>
    </row>
    <row r="42" spans="1:5" s="59" customFormat="1" ht="18.75" x14ac:dyDescent="0.2">
      <c r="B42" s="5"/>
      <c r="C42" s="58"/>
      <c r="D42" s="58"/>
    </row>
    <row r="43" spans="1:5" s="4" customFormat="1" ht="18.75" x14ac:dyDescent="0.3">
      <c r="B43" s="34"/>
      <c r="C43" s="6"/>
      <c r="D43" s="6"/>
    </row>
    <row r="44" spans="1:5" s="4" customFormat="1" ht="18.75" x14ac:dyDescent="0.3">
      <c r="B44" s="34"/>
      <c r="C44" s="6"/>
      <c r="D44" s="6"/>
    </row>
    <row r="45" spans="1:5" s="4" customFormat="1" ht="18.75" x14ac:dyDescent="0.3">
      <c r="B45" s="34"/>
      <c r="C45" s="6"/>
      <c r="D45" s="6"/>
    </row>
    <row r="46" spans="1:5" s="4" customFormat="1" ht="18.75" x14ac:dyDescent="0.3">
      <c r="B46" s="34"/>
      <c r="C46" s="6"/>
      <c r="D46" s="6"/>
    </row>
    <row r="47" spans="1:5" s="4" customFormat="1" ht="18.75" x14ac:dyDescent="0.3">
      <c r="B47" s="34"/>
      <c r="C47" s="6"/>
      <c r="D47" s="6"/>
    </row>
    <row r="48" spans="1:5" s="4" customFormat="1" ht="18.75" x14ac:dyDescent="0.3">
      <c r="B48" s="34"/>
      <c r="C48" s="6"/>
      <c r="D48" s="6"/>
    </row>
    <row r="49" spans="2:4" s="4" customFormat="1" ht="18.75" x14ac:dyDescent="0.3">
      <c r="B49" s="34"/>
      <c r="C49" s="6"/>
      <c r="D49" s="6"/>
    </row>
    <row r="50" spans="2:4" s="4" customFormat="1" ht="18.75" x14ac:dyDescent="0.3">
      <c r="B50" s="34"/>
      <c r="C50" s="6"/>
      <c r="D50" s="6"/>
    </row>
    <row r="51" spans="2:4" s="4" customFormat="1" ht="18.75" x14ac:dyDescent="0.3">
      <c r="B51" s="34"/>
      <c r="C51" s="6"/>
      <c r="D51" s="6"/>
    </row>
    <row r="52" spans="2:4" s="4" customFormat="1" ht="18.75" x14ac:dyDescent="0.3">
      <c r="B52" s="34"/>
      <c r="C52" s="6"/>
      <c r="D52" s="6"/>
    </row>
    <row r="53" spans="2:4" s="4" customFormat="1" ht="18.75" x14ac:dyDescent="0.3">
      <c r="B53" s="34"/>
      <c r="C53" s="6"/>
      <c r="D53" s="6"/>
    </row>
    <row r="54" spans="2:4" s="4" customFormat="1" ht="18.75" x14ac:dyDescent="0.3">
      <c r="B54" s="34"/>
      <c r="C54" s="6"/>
      <c r="D54" s="6"/>
    </row>
    <row r="55" spans="2:4" s="4" customFormat="1" ht="18.75" x14ac:dyDescent="0.3">
      <c r="B55" s="34"/>
      <c r="C55" s="6"/>
      <c r="D55" s="6"/>
    </row>
    <row r="56" spans="2:4" s="4" customFormat="1" ht="18.75" x14ac:dyDescent="0.3">
      <c r="B56" s="34"/>
      <c r="C56" s="6"/>
      <c r="D56" s="6"/>
    </row>
    <row r="57" spans="2:4" s="4" customFormat="1" ht="18.75" x14ac:dyDescent="0.3">
      <c r="B57" s="34"/>
      <c r="C57" s="6"/>
      <c r="D57" s="6"/>
    </row>
    <row r="58" spans="2:4" s="4" customFormat="1" ht="18.75" x14ac:dyDescent="0.3">
      <c r="B58" s="34"/>
      <c r="C58" s="6"/>
      <c r="D58" s="6"/>
    </row>
    <row r="59" spans="2:4" s="4" customFormat="1" ht="18.75" x14ac:dyDescent="0.3">
      <c r="B59" s="34"/>
      <c r="C59" s="6"/>
      <c r="D59" s="6"/>
    </row>
    <row r="60" spans="2:4" s="4" customFormat="1" ht="18.75" x14ac:dyDescent="0.3">
      <c r="B60" s="34"/>
      <c r="C60" s="6"/>
      <c r="D60" s="6"/>
    </row>
    <row r="61" spans="2:4" s="4" customFormat="1" ht="18.75" x14ac:dyDescent="0.3">
      <c r="B61" s="34"/>
      <c r="C61" s="6"/>
      <c r="D61" s="6"/>
    </row>
    <row r="62" spans="2:4" s="4" customFormat="1" ht="18.75" x14ac:dyDescent="0.3">
      <c r="B62" s="34"/>
      <c r="C62" s="6"/>
      <c r="D62" s="6"/>
    </row>
    <row r="63" spans="2:4" s="4" customFormat="1" ht="18.75" x14ac:dyDescent="0.3">
      <c r="B63" s="34"/>
      <c r="C63" s="6"/>
      <c r="D63" s="6"/>
    </row>
    <row r="64" spans="2:4" s="4" customFormat="1" ht="18.75" x14ac:dyDescent="0.3">
      <c r="B64" s="34"/>
      <c r="C64" s="6"/>
      <c r="D64" s="6"/>
    </row>
    <row r="65" spans="2:4" s="4" customFormat="1" ht="18.75" x14ac:dyDescent="0.3">
      <c r="B65" s="34"/>
      <c r="C65" s="6"/>
      <c r="D65" s="6"/>
    </row>
    <row r="66" spans="2:4" s="4" customFormat="1" ht="18.75" x14ac:dyDescent="0.3">
      <c r="B66" s="34"/>
      <c r="C66" s="6"/>
      <c r="D66" s="6"/>
    </row>
    <row r="67" spans="2:4" s="4" customFormat="1" ht="18.75" x14ac:dyDescent="0.3">
      <c r="B67" s="34"/>
      <c r="C67" s="6"/>
      <c r="D67" s="6"/>
    </row>
    <row r="68" spans="2:4" s="4" customFormat="1" ht="18.75" x14ac:dyDescent="0.3">
      <c r="B68" s="34"/>
      <c r="C68" s="6"/>
      <c r="D68" s="6"/>
    </row>
    <row r="69" spans="2:4" s="4" customFormat="1" ht="18.75" x14ac:dyDescent="0.3">
      <c r="B69" s="34"/>
      <c r="C69" s="6"/>
      <c r="D69" s="6"/>
    </row>
    <row r="70" spans="2:4" s="4" customFormat="1" ht="18.75" x14ac:dyDescent="0.3">
      <c r="B70" s="34"/>
      <c r="C70" s="6"/>
      <c r="D70" s="6"/>
    </row>
    <row r="71" spans="2:4" s="4" customFormat="1" ht="18.75" x14ac:dyDescent="0.3">
      <c r="B71" s="34"/>
      <c r="C71" s="6"/>
      <c r="D71" s="6"/>
    </row>
    <row r="72" spans="2:4" s="4" customFormat="1" ht="18.75" x14ac:dyDescent="0.3">
      <c r="B72" s="34"/>
      <c r="C72" s="6"/>
      <c r="D72" s="6"/>
    </row>
    <row r="73" spans="2:4" s="4" customFormat="1" ht="18.75" x14ac:dyDescent="0.3">
      <c r="B73" s="34"/>
      <c r="C73" s="6"/>
      <c r="D73" s="6"/>
    </row>
    <row r="74" spans="2:4" s="4" customFormat="1" ht="18.75" x14ac:dyDescent="0.3">
      <c r="B74" s="34"/>
      <c r="C74" s="6"/>
      <c r="D74" s="6"/>
    </row>
    <row r="75" spans="2:4" s="4" customFormat="1" ht="18.75" x14ac:dyDescent="0.3">
      <c r="B75" s="34"/>
      <c r="C75" s="6"/>
      <c r="D75" s="6"/>
    </row>
    <row r="76" spans="2:4" s="4" customFormat="1" ht="18.75" x14ac:dyDescent="0.3">
      <c r="B76" s="34"/>
      <c r="C76" s="6"/>
      <c r="D76" s="6"/>
    </row>
    <row r="77" spans="2:4" s="4" customFormat="1" ht="18.75" x14ac:dyDescent="0.3">
      <c r="B77" s="34"/>
      <c r="C77" s="6"/>
      <c r="D77" s="6"/>
    </row>
    <row r="78" spans="2:4" s="4" customFormat="1" ht="18.75" x14ac:dyDescent="0.3">
      <c r="B78" s="34"/>
      <c r="C78" s="6"/>
      <c r="D78" s="6"/>
    </row>
    <row r="79" spans="2:4" s="4" customFormat="1" ht="18.75" x14ac:dyDescent="0.3">
      <c r="B79" s="34"/>
      <c r="C79" s="6"/>
      <c r="D79" s="6"/>
    </row>
    <row r="80" spans="2:4" s="4" customFormat="1" ht="18.75" x14ac:dyDescent="0.3">
      <c r="B80" s="34"/>
      <c r="C80" s="6"/>
      <c r="D80" s="6"/>
    </row>
    <row r="81" spans="2:4" s="4" customFormat="1" ht="18.75" x14ac:dyDescent="0.3">
      <c r="B81" s="34"/>
      <c r="C81" s="6"/>
      <c r="D81" s="6"/>
    </row>
    <row r="82" spans="2:4" s="4" customFormat="1" ht="18.75" x14ac:dyDescent="0.3">
      <c r="B82" s="34"/>
      <c r="C82" s="6"/>
      <c r="D82" s="6"/>
    </row>
    <row r="83" spans="2:4" s="4" customFormat="1" ht="18.75" x14ac:dyDescent="0.3">
      <c r="B83" s="34"/>
      <c r="C83" s="6"/>
      <c r="D83" s="6"/>
    </row>
    <row r="84" spans="2:4" s="4" customFormat="1" ht="18.75" x14ac:dyDescent="0.3">
      <c r="B84" s="34"/>
      <c r="C84" s="6"/>
      <c r="D84" s="6"/>
    </row>
    <row r="85" spans="2:4" s="4" customFormat="1" ht="18.75" x14ac:dyDescent="0.3">
      <c r="B85" s="34"/>
      <c r="C85" s="6"/>
      <c r="D85" s="6"/>
    </row>
    <row r="86" spans="2:4" s="4" customFormat="1" ht="18.75" x14ac:dyDescent="0.3">
      <c r="B86" s="34"/>
      <c r="C86" s="6"/>
      <c r="D86" s="6"/>
    </row>
    <row r="87" spans="2:4" s="4" customFormat="1" ht="18.75" x14ac:dyDescent="0.3">
      <c r="B87" s="34"/>
      <c r="C87" s="6"/>
      <c r="D87" s="6"/>
    </row>
    <row r="88" spans="2:4" s="4" customFormat="1" ht="18.75" x14ac:dyDescent="0.3">
      <c r="B88" s="34"/>
      <c r="C88" s="6"/>
      <c r="D88" s="6"/>
    </row>
    <row r="89" spans="2:4" s="4" customFormat="1" ht="18.75" x14ac:dyDescent="0.3">
      <c r="B89" s="34"/>
      <c r="C89" s="6"/>
      <c r="D89" s="6"/>
    </row>
    <row r="90" spans="2:4" s="4" customFormat="1" ht="18.75" x14ac:dyDescent="0.3">
      <c r="B90" s="34"/>
      <c r="C90" s="6"/>
      <c r="D90" s="6"/>
    </row>
    <row r="91" spans="2:4" s="4" customFormat="1" ht="18.75" x14ac:dyDescent="0.3">
      <c r="B91" s="34"/>
      <c r="C91" s="6"/>
      <c r="D91" s="6"/>
    </row>
    <row r="92" spans="2:4" s="4" customFormat="1" ht="18.75" x14ac:dyDescent="0.3">
      <c r="B92" s="34"/>
      <c r="C92" s="6"/>
      <c r="D92" s="6"/>
    </row>
    <row r="93" spans="2:4" s="4" customFormat="1" ht="18.75" x14ac:dyDescent="0.3">
      <c r="B93" s="34"/>
      <c r="C93" s="6"/>
      <c r="D93" s="6"/>
    </row>
    <row r="94" spans="2:4" s="4" customFormat="1" ht="18.75" x14ac:dyDescent="0.3">
      <c r="B94" s="34"/>
      <c r="C94" s="6"/>
      <c r="D94" s="6"/>
    </row>
    <row r="95" spans="2:4" s="4" customFormat="1" ht="18.75" x14ac:dyDescent="0.3">
      <c r="B95" s="34"/>
      <c r="C95" s="6"/>
      <c r="D95" s="6"/>
    </row>
    <row r="96" spans="2:4" s="4" customFormat="1" ht="18.75" x14ac:dyDescent="0.3">
      <c r="B96" s="34"/>
      <c r="C96" s="6"/>
      <c r="D96" s="6"/>
    </row>
    <row r="97" spans="2:4" s="4" customFormat="1" ht="18.75" x14ac:dyDescent="0.3">
      <c r="B97" s="34"/>
      <c r="C97" s="6"/>
      <c r="D97" s="6"/>
    </row>
    <row r="98" spans="2:4" s="4" customFormat="1" ht="18.75" x14ac:dyDescent="0.3">
      <c r="B98" s="34"/>
      <c r="C98" s="6"/>
      <c r="D98" s="6"/>
    </row>
    <row r="99" spans="2:4" s="4" customFormat="1" ht="18.75" x14ac:dyDescent="0.3">
      <c r="B99" s="34"/>
      <c r="C99" s="6"/>
      <c r="D99" s="6"/>
    </row>
    <row r="100" spans="2:4" s="4" customFormat="1" ht="18.75" x14ac:dyDescent="0.3">
      <c r="B100" s="34"/>
      <c r="C100" s="6"/>
      <c r="D100" s="6"/>
    </row>
    <row r="101" spans="2:4" s="4" customFormat="1" ht="18.75" x14ac:dyDescent="0.3">
      <c r="B101" s="34"/>
      <c r="C101" s="6"/>
      <c r="D101" s="6"/>
    </row>
    <row r="102" spans="2:4" s="4" customFormat="1" ht="18.75" x14ac:dyDescent="0.3">
      <c r="B102" s="34"/>
      <c r="C102" s="6"/>
      <c r="D102" s="6"/>
    </row>
    <row r="103" spans="2:4" s="4" customFormat="1" ht="18.75" x14ac:dyDescent="0.3">
      <c r="B103" s="34"/>
      <c r="C103" s="6"/>
      <c r="D103" s="6"/>
    </row>
    <row r="104" spans="2:4" s="4" customFormat="1" ht="18.75" x14ac:dyDescent="0.3">
      <c r="B104" s="34"/>
      <c r="C104" s="6"/>
      <c r="D104" s="6"/>
    </row>
  </sheetData>
  <mergeCells count="5">
    <mergeCell ref="A1:D1"/>
    <mergeCell ref="A2:D2"/>
    <mergeCell ref="A3:D3"/>
    <mergeCell ref="C36:D36"/>
    <mergeCell ref="C37:D37"/>
  </mergeCells>
  <pageMargins left="0.59055118110236227" right="0.19685039370078741" top="0.59055118110236227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งบแสดงฐานะการเงิน</vt:lpstr>
      <vt:lpstr>หมายเหตุ</vt:lpstr>
      <vt:lpstr>ค้างจ่าย</vt:lpstr>
      <vt:lpstr>เงินรับฝาก</vt:lpstr>
      <vt:lpstr>เงินสะสม</vt:lpstr>
      <vt:lpstr>9</vt:lpstr>
      <vt:lpstr>งบทรัพย์สิน</vt:lpstr>
      <vt:lpstr>กระดาษทำการงบทรัพย์สิน</vt:lpstr>
      <vt:lpstr>งบทดลอง</vt:lpstr>
      <vt:lpstr>งบหลังปิด</vt:lpstr>
      <vt:lpstr>รายรับจริง</vt:lpstr>
      <vt:lpstr>รายงานการรับจ่ายเงิน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ThisPC</cp:lastModifiedBy>
  <cp:lastPrinted>2018-10-31T08:53:56Z</cp:lastPrinted>
  <dcterms:created xsi:type="dcterms:W3CDTF">2017-08-06T05:01:23Z</dcterms:created>
  <dcterms:modified xsi:type="dcterms:W3CDTF">2018-10-31T09:06:07Z</dcterms:modified>
</cp:coreProperties>
</file>